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30" yWindow="315" windowWidth="11625" windowHeight="6615" firstSheet="3"/>
  </bookViews>
  <sheets>
    <sheet name="Summary - Based on 340" sheetId="25" r:id="rId1"/>
    <sheet name="Detail YR 1 - Based on 340" sheetId="17" r:id="rId2"/>
    <sheet name="Detail YR 2 - Based on 340" sheetId="26" r:id="rId3"/>
    <sheet name="One Year Fee Schedule" sheetId="27" r:id="rId4"/>
    <sheet name="Deployment - Based on 340" sheetId="20" r:id="rId5"/>
    <sheet name="Wages" sheetId="22" r:id="rId6"/>
    <sheet name="Benefits" sheetId="23" r:id="rId7"/>
    <sheet name="Other Costs" sheetId="24" r:id="rId8"/>
  </sheets>
  <calcPr calcId="145621"/>
</workbook>
</file>

<file path=xl/calcChain.xml><?xml version="1.0" encoding="utf-8"?>
<calcChain xmlns="http://schemas.openxmlformats.org/spreadsheetml/2006/main">
  <c r="G45" i="24" l="1"/>
  <c r="L16" i="26"/>
  <c r="G44" i="24"/>
  <c r="G46" i="24"/>
  <c r="G47" i="24"/>
  <c r="G48" i="24"/>
  <c r="G49" i="24"/>
  <c r="G50" i="24"/>
  <c r="G51" i="24"/>
  <c r="G52" i="24"/>
  <c r="G53" i="24"/>
  <c r="G54" i="24"/>
  <c r="G55" i="24"/>
  <c r="G56" i="24"/>
  <c r="G43" i="24"/>
  <c r="G42" i="24"/>
  <c r="H15" i="26"/>
  <c r="G15" i="26"/>
  <c r="F15" i="26"/>
  <c r="H34" i="26"/>
  <c r="H32" i="26"/>
  <c r="G57" i="24" l="1"/>
  <c r="E64" i="24" s="1"/>
  <c r="E65" i="24"/>
  <c r="L12" i="26"/>
  <c r="L32" i="17"/>
  <c r="L32" i="26"/>
  <c r="N51" i="26"/>
  <c r="H34" i="17"/>
  <c r="E62" i="24"/>
  <c r="L35" i="17" l="1"/>
  <c r="F26" i="24" s="1"/>
  <c r="L35" i="26"/>
  <c r="H6" i="26"/>
  <c r="N50" i="26"/>
  <c r="O50" i="26" s="1"/>
  <c r="N49" i="26"/>
  <c r="O49" i="26" s="1"/>
  <c r="N48" i="26"/>
  <c r="O48" i="26" s="1"/>
  <c r="F23" i="24" s="1"/>
  <c r="N47" i="26"/>
  <c r="O47" i="26" s="1"/>
  <c r="F24" i="24" s="1"/>
  <c r="H44" i="26"/>
  <c r="N46" i="26"/>
  <c r="O46" i="26" s="1"/>
  <c r="N45" i="26"/>
  <c r="O45" i="26" s="1"/>
  <c r="N44" i="26"/>
  <c r="O44" i="26" s="1"/>
  <c r="N43" i="26"/>
  <c r="O43" i="26" s="1"/>
  <c r="H38" i="26"/>
  <c r="H36" i="26"/>
  <c r="L36" i="26"/>
  <c r="H41" i="26"/>
  <c r="L26" i="26"/>
  <c r="L25" i="26"/>
  <c r="H42" i="26" s="1"/>
  <c r="L24" i="26"/>
  <c r="L19" i="26"/>
  <c r="C19" i="26"/>
  <c r="F10" i="26"/>
  <c r="H8" i="26"/>
  <c r="F8" i="26"/>
  <c r="C8" i="26"/>
  <c r="H21" i="26" s="1"/>
  <c r="H22" i="26" s="1"/>
  <c r="F7" i="26"/>
  <c r="C7" i="26"/>
  <c r="G21" i="26" s="1"/>
  <c r="G22" i="26" s="1"/>
  <c r="F9" i="26"/>
  <c r="C6" i="26"/>
  <c r="E10" i="27"/>
  <c r="D10" i="27"/>
  <c r="C10" i="27"/>
  <c r="C11" i="27" s="1"/>
  <c r="D11" i="27"/>
  <c r="F4" i="27"/>
  <c r="F3" i="27"/>
  <c r="E3" i="27"/>
  <c r="E4" i="27" s="1"/>
  <c r="D3" i="27"/>
  <c r="D4" i="27" s="1"/>
  <c r="C3" i="27"/>
  <c r="C4" i="27" s="1"/>
  <c r="N46" i="17"/>
  <c r="O46" i="17" s="1"/>
  <c r="F27" i="24" s="1"/>
  <c r="N47" i="17"/>
  <c r="O47" i="17" s="1"/>
  <c r="F28" i="24" s="1"/>
  <c r="N48" i="17"/>
  <c r="O48" i="17" s="1"/>
  <c r="N49" i="17"/>
  <c r="O49" i="17" s="1"/>
  <c r="N50" i="17"/>
  <c r="O50" i="17" s="1"/>
  <c r="F31" i="24" s="1"/>
  <c r="N51" i="17"/>
  <c r="O51" i="17" s="1"/>
  <c r="F32" i="24" s="1"/>
  <c r="N45" i="17"/>
  <c r="O45" i="17" s="1"/>
  <c r="F30" i="24" s="1"/>
  <c r="N44" i="17"/>
  <c r="O44" i="17" l="1"/>
  <c r="N52" i="17"/>
  <c r="C9" i="26"/>
  <c r="C10" i="26" s="1"/>
  <c r="G12" i="26"/>
  <c r="H43" i="26"/>
  <c r="F12" i="26"/>
  <c r="F21" i="26"/>
  <c r="F22" i="26" s="1"/>
  <c r="G8" i="26"/>
  <c r="G10" i="26"/>
  <c r="G7" i="26"/>
  <c r="G9" i="26"/>
  <c r="F11" i="26"/>
  <c r="O51" i="26"/>
  <c r="L8" i="26" s="1"/>
  <c r="H40" i="26" s="1"/>
  <c r="H9" i="26"/>
  <c r="H7" i="26"/>
  <c r="H10" i="26"/>
  <c r="H12" i="26"/>
  <c r="F10" i="27"/>
  <c r="F11" i="27" s="1"/>
  <c r="E11" i="27"/>
  <c r="C11" i="26" l="1"/>
  <c r="O7" i="26" s="1"/>
  <c r="O52" i="17"/>
  <c r="F29" i="24"/>
  <c r="O6" i="26"/>
  <c r="H11" i="26"/>
  <c r="H14" i="26" s="1"/>
  <c r="G11" i="26"/>
  <c r="G14" i="26" s="1"/>
  <c r="F14" i="26"/>
  <c r="O10" i="26"/>
  <c r="L7" i="26"/>
  <c r="O9" i="26"/>
  <c r="H35" i="26"/>
  <c r="O11" i="26" l="1"/>
  <c r="F51" i="24"/>
  <c r="L8" i="17"/>
  <c r="H40" i="17" s="1"/>
  <c r="H45" i="26"/>
  <c r="O12" i="26"/>
  <c r="O13" i="26" l="1"/>
  <c r="F16" i="26" s="1"/>
  <c r="H33" i="26"/>
  <c r="G16" i="26" l="1"/>
  <c r="H16" i="26"/>
  <c r="L36" i="17" l="1"/>
  <c r="L26" i="17"/>
  <c r="F49" i="24" s="1"/>
  <c r="L19" i="17"/>
  <c r="F50" i="24" s="1"/>
  <c r="G6" i="17"/>
  <c r="F6" i="17"/>
  <c r="H6" i="17"/>
  <c r="F6" i="22"/>
  <c r="E6" i="22"/>
  <c r="D6" i="22"/>
  <c r="K26" i="20"/>
  <c r="J26" i="20"/>
  <c r="I26" i="20"/>
  <c r="H26" i="20"/>
  <c r="G26" i="20"/>
  <c r="F26" i="20"/>
  <c r="L24" i="20"/>
  <c r="L26" i="20" s="1"/>
  <c r="L9" i="20"/>
  <c r="K20" i="20"/>
  <c r="J20" i="20"/>
  <c r="I20" i="20"/>
  <c r="H20" i="20"/>
  <c r="G20" i="20"/>
  <c r="F20" i="20"/>
  <c r="L19" i="20"/>
  <c r="L17" i="20"/>
  <c r="L15" i="20"/>
  <c r="L14" i="20"/>
  <c r="L5" i="20"/>
  <c r="L4" i="20"/>
  <c r="C8" i="17" l="1"/>
  <c r="C6" i="17"/>
  <c r="L20" i="20"/>
  <c r="F55" i="24"/>
  <c r="F47" i="24"/>
  <c r="F46" i="24"/>
  <c r="L24" i="17"/>
  <c r="H43" i="17" s="1"/>
  <c r="F43" i="24"/>
  <c r="G15" i="17"/>
  <c r="F15" i="17"/>
  <c r="F48" i="24" l="1"/>
  <c r="F10" i="20"/>
  <c r="G10" i="20"/>
  <c r="H10" i="20"/>
  <c r="I10" i="20"/>
  <c r="H15" i="17"/>
  <c r="G10" i="17" l="1"/>
  <c r="G7" i="17"/>
  <c r="G8" i="17"/>
  <c r="G9" i="17"/>
  <c r="L7" i="20"/>
  <c r="C7" i="17" l="1"/>
  <c r="H36" i="17"/>
  <c r="G21" i="17" l="1"/>
  <c r="G22" i="17" s="1"/>
  <c r="G12" i="17"/>
  <c r="K10" i="20"/>
  <c r="J10" i="20"/>
  <c r="F12" i="17" l="1"/>
  <c r="F42" i="24"/>
  <c r="G11" i="17"/>
  <c r="E7" i="23" l="1"/>
  <c r="E8" i="23"/>
  <c r="E5" i="23"/>
  <c r="E6" i="23"/>
  <c r="G14" i="17"/>
  <c r="F52" i="24"/>
  <c r="E4" i="23" l="1"/>
  <c r="E9" i="23" s="1"/>
  <c r="H38" i="17"/>
  <c r="L10" i="20" l="1"/>
  <c r="L25" i="17" l="1"/>
  <c r="H42" i="17" l="1"/>
  <c r="F25" i="24"/>
  <c r="F34" i="24" s="1"/>
  <c r="H41" i="17"/>
  <c r="H46" i="17" s="1"/>
  <c r="H44" i="17"/>
  <c r="C19" i="17"/>
  <c r="H10" i="17"/>
  <c r="F10" i="17"/>
  <c r="H9" i="17"/>
  <c r="F9" i="17"/>
  <c r="H8" i="17"/>
  <c r="F8" i="17"/>
  <c r="H7" i="17"/>
  <c r="F7" i="17"/>
  <c r="F11" i="17" l="1"/>
  <c r="H21" i="17"/>
  <c r="H22" i="17" s="1"/>
  <c r="H12" i="17"/>
  <c r="H11" i="17"/>
  <c r="F54" i="24" l="1"/>
  <c r="H14" i="17"/>
  <c r="F14" i="17" l="1"/>
  <c r="F21" i="17"/>
  <c r="F22" i="17" s="1"/>
  <c r="C9" i="17"/>
  <c r="H32" i="17" l="1"/>
  <c r="C11" i="17"/>
  <c r="C10" i="17"/>
  <c r="L16" i="17" s="1"/>
  <c r="L7" i="17" l="1"/>
  <c r="L12" i="17"/>
  <c r="H35" i="17" s="1"/>
  <c r="D1" i="24"/>
  <c r="O11" i="17"/>
  <c r="D8" i="23" s="1"/>
  <c r="O10" i="17"/>
  <c r="D7" i="23" s="1"/>
  <c r="F45" i="24"/>
  <c r="F53" i="24"/>
  <c r="O6" i="17"/>
  <c r="D4" i="23" s="1"/>
  <c r="O9" i="17"/>
  <c r="D6" i="23" s="1"/>
  <c r="O7" i="17"/>
  <c r="D5" i="23" s="1"/>
  <c r="D9" i="23" l="1"/>
  <c r="D62" i="24" s="1"/>
  <c r="H45" i="17"/>
  <c r="H49" i="17" s="1"/>
  <c r="F44" i="24"/>
  <c r="F57" i="24" s="1"/>
  <c r="D13" i="24"/>
  <c r="F13" i="24" s="1"/>
  <c r="D5" i="24"/>
  <c r="F5" i="24" s="1"/>
  <c r="D6" i="24"/>
  <c r="F6" i="24" s="1"/>
  <c r="D11" i="24"/>
  <c r="F11" i="24" s="1"/>
  <c r="D12" i="24"/>
  <c r="F12" i="24" s="1"/>
  <c r="D8" i="24"/>
  <c r="F8" i="24" s="1"/>
  <c r="D7" i="24"/>
  <c r="F7" i="24" s="1"/>
  <c r="D10" i="24"/>
  <c r="F10" i="24" s="1"/>
  <c r="D9" i="24"/>
  <c r="F9" i="24" s="1"/>
  <c r="O12" i="17"/>
  <c r="O13" i="17" s="1"/>
  <c r="D64" i="24" l="1"/>
  <c r="F15" i="24"/>
  <c r="D63" i="24" s="1"/>
  <c r="H33" i="17"/>
  <c r="F16" i="17"/>
  <c r="G16" i="17" s="1"/>
  <c r="D65" i="24" l="1"/>
  <c r="L15" i="26"/>
  <c r="H37" i="26" s="1"/>
  <c r="E63" i="24"/>
  <c r="L15" i="17"/>
  <c r="H37" i="17" s="1"/>
  <c r="H16" i="17"/>
  <c r="C4" i="25" l="1"/>
  <c r="L38" i="26"/>
  <c r="L39" i="26" s="1"/>
  <c r="F17" i="26" s="1"/>
  <c r="D4" i="25"/>
  <c r="H46" i="26"/>
  <c r="L38" i="17"/>
  <c r="H17" i="26" l="1"/>
  <c r="H48" i="26"/>
  <c r="D5" i="25"/>
  <c r="D6" i="25" s="1"/>
  <c r="G17" i="26"/>
  <c r="F18" i="26"/>
  <c r="F20" i="26" s="1"/>
  <c r="F18" i="17"/>
  <c r="C5" i="25"/>
  <c r="C6" i="25" s="1"/>
  <c r="H48" i="17"/>
  <c r="L39" i="17"/>
  <c r="F17" i="17" s="1"/>
  <c r="H20" i="26" l="1"/>
  <c r="G18" i="17"/>
  <c r="F20" i="17"/>
  <c r="I32" i="17"/>
  <c r="I34" i="17"/>
  <c r="I41" i="26"/>
  <c r="I34" i="26"/>
  <c r="I38" i="26"/>
  <c r="I42" i="26"/>
  <c r="I46" i="26"/>
  <c r="I33" i="26"/>
  <c r="I40" i="26"/>
  <c r="I43" i="26"/>
  <c r="I45" i="26"/>
  <c r="I35" i="26"/>
  <c r="I36" i="26"/>
  <c r="I32" i="26"/>
  <c r="I37" i="26"/>
  <c r="I39" i="26"/>
  <c r="I44" i="26"/>
  <c r="H18" i="17"/>
  <c r="H18" i="26"/>
  <c r="G18" i="26"/>
  <c r="G20" i="26" s="1"/>
  <c r="I40" i="17"/>
  <c r="I37" i="17"/>
  <c r="I38" i="17"/>
  <c r="I35" i="17"/>
  <c r="I45" i="17"/>
  <c r="I33" i="17"/>
  <c r="I36" i="17"/>
  <c r="I46" i="17"/>
  <c r="I42" i="17"/>
  <c r="I39" i="17"/>
  <c r="I43" i="17"/>
  <c r="I41" i="17"/>
  <c r="I44" i="17"/>
  <c r="G17" i="17"/>
  <c r="G20" i="17" l="1"/>
  <c r="I48" i="26"/>
  <c r="E12" i="27"/>
  <c r="H23" i="26"/>
  <c r="F23" i="26"/>
  <c r="C12" i="27"/>
  <c r="D12" i="27"/>
  <c r="G23" i="26"/>
  <c r="G23" i="17"/>
  <c r="D5" i="27"/>
  <c r="F23" i="17"/>
  <c r="C5" i="27"/>
  <c r="H17" i="17"/>
  <c r="H20" i="17" l="1"/>
  <c r="E5" i="27" s="1"/>
  <c r="F5" i="27" s="1"/>
  <c r="F12" i="27"/>
  <c r="H24" i="26"/>
  <c r="H26" i="26" s="1"/>
  <c r="I48" i="17"/>
  <c r="H23" i="17" l="1"/>
  <c r="H24" i="17" l="1"/>
  <c r="H26" i="17" s="1"/>
</calcChain>
</file>

<file path=xl/sharedStrings.xml><?xml version="1.0" encoding="utf-8"?>
<sst xmlns="http://schemas.openxmlformats.org/spreadsheetml/2006/main" count="409" uniqueCount="192">
  <si>
    <t>Total</t>
  </si>
  <si>
    <t>FICA</t>
  </si>
  <si>
    <t>WC</t>
  </si>
  <si>
    <t>Liability</t>
  </si>
  <si>
    <t>Overhead</t>
  </si>
  <si>
    <t>Uniforms</t>
  </si>
  <si>
    <t>Recruitment</t>
  </si>
  <si>
    <t>H. Insurance</t>
  </si>
  <si>
    <t>D. Insurance</t>
  </si>
  <si>
    <t>Training</t>
  </si>
  <si>
    <t>Annual Billing</t>
  </si>
  <si>
    <t>Employment Background</t>
  </si>
  <si>
    <t>Life Insurance</t>
  </si>
  <si>
    <t>B-Day Pay</t>
  </si>
  <si>
    <t>Vacations</t>
  </si>
  <si>
    <t>Benefits</t>
  </si>
  <si>
    <t>Bill Rate</t>
  </si>
  <si>
    <t>Holidays</t>
  </si>
  <si>
    <t>Pay Rate</t>
  </si>
  <si>
    <t>Awards &amp; Recognition</t>
  </si>
  <si>
    <t>Vehicle Insurance</t>
  </si>
  <si>
    <t>Corporate Travel</t>
  </si>
  <si>
    <t>Miscellaneous</t>
  </si>
  <si>
    <t>Administration</t>
  </si>
  <si>
    <t xml:space="preserve"> </t>
  </si>
  <si>
    <t>Weekly Total</t>
  </si>
  <si>
    <t>Annual</t>
  </si>
  <si>
    <t>TAXES &amp; INSURANCE</t>
  </si>
  <si>
    <t>Dumpster / Trash</t>
  </si>
  <si>
    <t>Electric / Gas</t>
  </si>
  <si>
    <t>Water</t>
  </si>
  <si>
    <t>Office Supplies</t>
  </si>
  <si>
    <t>Equipment Maintenance</t>
  </si>
  <si>
    <t>Blockhead Annual Meeting</t>
  </si>
  <si>
    <t>Overtime</t>
  </si>
  <si>
    <t>Office / Storage Rental</t>
  </si>
  <si>
    <t>Telephone / Internet</t>
  </si>
  <si>
    <t>Cell Phones</t>
  </si>
  <si>
    <t>Equipment Lease</t>
  </si>
  <si>
    <t>Vehicle Maintenance</t>
  </si>
  <si>
    <t>Bid / Performance Bond</t>
  </si>
  <si>
    <t>Category</t>
  </si>
  <si>
    <t>Quantity</t>
  </si>
  <si>
    <t>Cost</t>
  </si>
  <si>
    <t>Parking</t>
  </si>
  <si>
    <t>Capital Equipment</t>
  </si>
  <si>
    <t>Postage</t>
  </si>
  <si>
    <t>Anticipated %</t>
  </si>
  <si>
    <t>TOTAL</t>
  </si>
  <si>
    <t>BENEFITS (70%)</t>
  </si>
  <si>
    <t>Weekly Hours</t>
  </si>
  <si>
    <t>Annual Hours</t>
  </si>
  <si>
    <t>Annual Cost Per FTE</t>
  </si>
  <si>
    <t>Position</t>
  </si>
  <si>
    <t>Operations Manager</t>
  </si>
  <si>
    <t>Hours</t>
  </si>
  <si>
    <t>Mon</t>
  </si>
  <si>
    <t>Tues</t>
  </si>
  <si>
    <t>Wed</t>
  </si>
  <si>
    <t>Thurs</t>
  </si>
  <si>
    <t>Fri</t>
  </si>
  <si>
    <t>%</t>
  </si>
  <si>
    <t>Unemployment - State</t>
  </si>
  <si>
    <t>Unemployment - Federal</t>
  </si>
  <si>
    <t>Fuel - Vehicle</t>
  </si>
  <si>
    <t>Capital Equip - EQUIP</t>
  </si>
  <si>
    <t>Computer</t>
  </si>
  <si>
    <t>Equipment</t>
  </si>
  <si>
    <t>Two Way Radios</t>
  </si>
  <si>
    <t>YEAR 1</t>
  </si>
  <si>
    <t>Labor</t>
  </si>
  <si>
    <t xml:space="preserve">TOTAL </t>
  </si>
  <si>
    <t>Subtotal</t>
  </si>
  <si>
    <t>Annual Amount (Labor)</t>
  </si>
  <si>
    <t>Weeks</t>
  </si>
  <si>
    <t>Vehicle</t>
  </si>
  <si>
    <t>Fuel - Equipment</t>
  </si>
  <si>
    <t xml:space="preserve">Equipment  </t>
  </si>
  <si>
    <t>Sat</t>
  </si>
  <si>
    <t>Sun</t>
  </si>
  <si>
    <t>Guard Tour System</t>
  </si>
  <si>
    <t>Operations Center</t>
  </si>
  <si>
    <t>Operations Center Related</t>
  </si>
  <si>
    <t>Janitorial &amp; Office Supplies</t>
  </si>
  <si>
    <t>Employees (FTEs)</t>
  </si>
  <si>
    <t xml:space="preserve"> BUDGET SUMMARY                                                                                                                                                                                                                                                              </t>
  </si>
  <si>
    <t>Safety Ambassadors</t>
  </si>
  <si>
    <t>Bike Patrol</t>
  </si>
  <si>
    <t>10am - 6pm</t>
  </si>
  <si>
    <t xml:space="preserve">Assignment </t>
  </si>
  <si>
    <t>Operations          Manager</t>
  </si>
  <si>
    <t>Profit</t>
  </si>
  <si>
    <t>Job Classification</t>
  </si>
  <si>
    <t>Team Leader</t>
  </si>
  <si>
    <t>Benefit Type</t>
  </si>
  <si>
    <t>Health Insurance</t>
  </si>
  <si>
    <t>Dental Insurance</t>
  </si>
  <si>
    <t>Birthday Pay</t>
  </si>
  <si>
    <t>Item</t>
  </si>
  <si>
    <t>Unit Cost</t>
  </si>
  <si>
    <t>Total Cost</t>
  </si>
  <si>
    <t>Shirts - Short Sleeve (4 each EE)</t>
  </si>
  <si>
    <t>Shirts - Long Sleeve (4 each EE)</t>
  </si>
  <si>
    <t>Shorts (4 each EE)</t>
  </si>
  <si>
    <t>Pants (4 each EE)</t>
  </si>
  <si>
    <t>Waist Jacket (1 each EE)</t>
  </si>
  <si>
    <t>Parka (1 each EE)</t>
  </si>
  <si>
    <t>Baseball Hats (4 each EE)</t>
  </si>
  <si>
    <t>Helmets (1 each EE)</t>
  </si>
  <si>
    <t>Belts &amp; Misc Accessories (gloves, water bottle, first aid kid, etc.)</t>
  </si>
  <si>
    <t>Personnel</t>
  </si>
  <si>
    <t>Uniforms &amp; Equipment</t>
  </si>
  <si>
    <t>Assumptions</t>
  </si>
  <si>
    <t>Year 1 Cost</t>
  </si>
  <si>
    <t>Year 2 Cost</t>
  </si>
  <si>
    <t>Liability Insurance</t>
  </si>
  <si>
    <t>EE Background Checks</t>
  </si>
  <si>
    <t>Operations Manager Annual In-service Training</t>
  </si>
  <si>
    <t>Anticipated OT</t>
  </si>
  <si>
    <t>Awards &amp; Recognition Program</t>
  </si>
  <si>
    <t>Administrative Support &amp; Corporate Travel</t>
  </si>
  <si>
    <t>2.55% of wages paid</t>
  </si>
  <si>
    <t>Estimated based on experience</t>
  </si>
  <si>
    <t>$1,032 X FTE</t>
  </si>
  <si>
    <t>3 year avg cost w/ start up amortized</t>
  </si>
  <si>
    <t>Estimated - shipping of supplies &amp; uniforms</t>
  </si>
  <si>
    <t>$250 initial order + $50 subsequent months</t>
  </si>
  <si>
    <t>$100 per month</t>
  </si>
  <si>
    <t>Estimated cost per manager</t>
  </si>
  <si>
    <t>1% of annual hours in OT</t>
  </si>
  <si>
    <t>Estimated based on program size</t>
  </si>
  <si>
    <t>Ambassadors</t>
  </si>
  <si>
    <t>8am - 6pm</t>
  </si>
  <si>
    <t xml:space="preserve">10am - 6pm </t>
  </si>
  <si>
    <t>11am - 7pm</t>
  </si>
  <si>
    <t>Supervisor</t>
  </si>
  <si>
    <t>Manager</t>
  </si>
  <si>
    <t>Ambassador</t>
  </si>
  <si>
    <t>Annual Cost</t>
  </si>
  <si>
    <t xml:space="preserve">Zone A: Main Street and Kerrytown </t>
  </si>
  <si>
    <t>Zone B: State Street and South University Areas</t>
  </si>
  <si>
    <t>1pm - 9pm</t>
  </si>
  <si>
    <t>Floater (Floats Between All Commercial Areas)</t>
  </si>
  <si>
    <t>Walking/Bike Patrol</t>
  </si>
  <si>
    <t>Team Leader (Supervisor)</t>
  </si>
  <si>
    <t>Operating Expenses</t>
  </si>
  <si>
    <t>0 -90 Days</t>
  </si>
  <si>
    <t>After 90 Days</t>
  </si>
  <si>
    <t>After 1 year</t>
  </si>
  <si>
    <t>Bikes</t>
  </si>
  <si>
    <t>Office Furniture/Fixtures</t>
  </si>
  <si>
    <t>Segways</t>
  </si>
  <si>
    <t>Misc Supplies</t>
  </si>
  <si>
    <t>SMART System</t>
  </si>
  <si>
    <t>Profit (8.5% of all expenses)</t>
  </si>
  <si>
    <t>Proposed One Year Fee Schedule</t>
  </si>
  <si>
    <t>Service Cost</t>
  </si>
  <si>
    <t>Profit/Management Fee</t>
  </si>
  <si>
    <t>IPOD Touches</t>
  </si>
  <si>
    <t>Paid Vacations</t>
  </si>
  <si>
    <t>Year 2</t>
  </si>
  <si>
    <t>Year 1</t>
  </si>
  <si>
    <t>Computer and Printer</t>
  </si>
  <si>
    <t>Extended</t>
  </si>
  <si>
    <t>Amortized</t>
  </si>
  <si>
    <t>Extra Pipes for Guard Tour</t>
  </si>
  <si>
    <t>Repeater for Two Way Radios</t>
  </si>
  <si>
    <t>Bill Rate Calculation: Year 1</t>
  </si>
  <si>
    <t>Bill Rate Calculation: Year 2</t>
  </si>
  <si>
    <t>Ann Arbor DDA</t>
  </si>
  <si>
    <t>Proposed One Year Operating Budget</t>
  </si>
  <si>
    <t>NARRATIVE EXPLANATION: All quantities required are based on having 33% of additional for stock, spoilage, or replacement through the year.</t>
  </si>
  <si>
    <t>Segway</t>
  </si>
  <si>
    <t>Walking/Bike</t>
  </si>
  <si>
    <t>Repeater for Two-way Radios</t>
  </si>
  <si>
    <t>Office Furniture and Fixtures</t>
  </si>
  <si>
    <t>$82.40 per FTE + 50% turnover</t>
  </si>
  <si>
    <t>Parking for Manager @ $80 per month</t>
  </si>
  <si>
    <t>Miscellaneous Supplies</t>
  </si>
  <si>
    <t>Graffiti wipes and any specialty supplies</t>
  </si>
  <si>
    <t>Equipment Repair</t>
  </si>
  <si>
    <t xml:space="preserve">3% of total equipment cost </t>
  </si>
  <si>
    <t>Cell Phones (2)</t>
  </si>
  <si>
    <t>Year 1 Total Cost</t>
  </si>
  <si>
    <t>Year 2 Total Cost</t>
  </si>
  <si>
    <t>Employees</t>
  </si>
  <si>
    <r>
      <t xml:space="preserve">NARRATIVE EXPLANATION: </t>
    </r>
    <r>
      <rPr>
        <sz val="11"/>
        <rFont val="Avenir LT Std 45 Book"/>
        <family val="2"/>
      </rPr>
      <t>Each of the above pieces are classifeid as capital equipment and are amortized over a three year period with the exception of IPOD Touches (paid for in year 1 budget).</t>
    </r>
  </si>
  <si>
    <r>
      <t xml:space="preserve">Operations Manager </t>
    </r>
    <r>
      <rPr>
        <i/>
        <sz val="11"/>
        <rFont val="Avenir LT Std 45 Book"/>
        <family val="2"/>
      </rPr>
      <t>(salaried)</t>
    </r>
  </si>
  <si>
    <r>
      <t xml:space="preserve">Labor Related </t>
    </r>
    <r>
      <rPr>
        <i/>
        <sz val="10"/>
        <rFont val="Avenir LT Std 45 Book"/>
        <family val="2"/>
      </rPr>
      <t>(background checks, recruiting, awards, etc.)</t>
    </r>
  </si>
  <si>
    <r>
      <t>Equipment Related</t>
    </r>
    <r>
      <rPr>
        <i/>
        <sz val="10"/>
        <rFont val="Avenir LT Std 45 Book"/>
        <family val="2"/>
      </rPr>
      <t xml:space="preserve"> </t>
    </r>
  </si>
  <si>
    <r>
      <t>Administrative Support</t>
    </r>
    <r>
      <rPr>
        <i/>
        <sz val="10"/>
        <rFont val="Avenir LT Std 45 Book"/>
        <family val="2"/>
      </rPr>
      <t xml:space="preserve"> (mgmt, travel, postage, etc.)</t>
    </r>
  </si>
  <si>
    <r>
      <t xml:space="preserve">NARRATIVE EXPLANATION: </t>
    </r>
    <r>
      <rPr>
        <sz val="11"/>
        <rFont val="Avenir LT Std 45 Book"/>
        <family val="2"/>
      </rPr>
      <t>The only thing affecting the increase in program cost is the average expected increase in wages for staff and an estimated 10% increase in our healthcare premium.                                                                        We do want to note that we prefer to develop a new operating budget and associated rate strcuture each year for our customers as we are then able to true up and charge actual expenses basee on costs that will be known going into the second year. In most cases having historical perspective works to the benefit of our customers.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</si>
</sst>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dd\-mmm\-yy"/>
    <numFmt numFmtId="165" formatCode="[$-409]mmmm\ d\,\ yyyy;@"/>
    <numFmt numFmtId="166" formatCode="0.0%"/>
  </numFmts>
  <fonts count="21" x14ac:knownFonts="1">
    <font>
      <sz val="12"/>
      <name val="Times New Roman"/>
    </font>
    <font>
      <sz val="12"/>
      <name val="Times New Roman"/>
      <family val="1"/>
    </font>
    <font>
      <sz val="12"/>
      <name val="Times New Roman"/>
      <family val="1"/>
    </font>
    <font>
      <sz val="11"/>
      <name val="Avenir LT Std 45 Book"/>
      <family val="2"/>
    </font>
    <font>
      <b/>
      <sz val="11"/>
      <name val="Avenir LT Std 45 Book"/>
      <family val="2"/>
    </font>
    <font>
      <b/>
      <sz val="11"/>
      <color theme="0"/>
      <name val="Avenir LT Std 45 Book"/>
      <family val="2"/>
    </font>
    <font>
      <b/>
      <sz val="11"/>
      <color indexed="9"/>
      <name val="Avenir LT Std 45 Book"/>
      <family val="2"/>
    </font>
    <font>
      <i/>
      <sz val="11"/>
      <name val="Avenir LT Std 45 Book"/>
      <family val="2"/>
    </font>
    <font>
      <sz val="11"/>
      <color theme="0"/>
      <name val="Avenir LT Std 45 Book"/>
      <family val="2"/>
    </font>
    <font>
      <sz val="12"/>
      <name val="Avenir LT Std 45 Book"/>
      <family val="2"/>
    </font>
    <font>
      <b/>
      <sz val="10"/>
      <name val="Avenir LT Std 45 Book"/>
      <family val="2"/>
    </font>
    <font>
      <sz val="10"/>
      <name val="Avenir LT Std 45 Book"/>
      <family val="2"/>
    </font>
    <font>
      <b/>
      <sz val="10"/>
      <color theme="0"/>
      <name val="Avenir LT Std 45 Book"/>
      <family val="2"/>
    </font>
    <font>
      <b/>
      <sz val="9"/>
      <color theme="0"/>
      <name val="Avenir LT Std 45 Book"/>
      <family val="2"/>
    </font>
    <font>
      <b/>
      <sz val="12"/>
      <name val="Avenir LT Std 45 Book"/>
      <family val="2"/>
    </font>
    <font>
      <b/>
      <i/>
      <sz val="10"/>
      <name val="Avenir LT Std 45 Book"/>
      <family val="2"/>
    </font>
    <font>
      <u/>
      <sz val="8"/>
      <name val="Avenir LT Std 45 Book"/>
      <family val="2"/>
    </font>
    <font>
      <sz val="8"/>
      <name val="Avenir LT Std 45 Book"/>
      <family val="2"/>
    </font>
    <font>
      <b/>
      <sz val="10"/>
      <color rgb="FFFF0000"/>
      <name val="Avenir LT Std 45 Book"/>
      <family val="2"/>
    </font>
    <font>
      <sz val="9"/>
      <name val="Avenir LT Std 45 Book"/>
      <family val="2"/>
    </font>
    <font>
      <i/>
      <sz val="10"/>
      <name val="Avenir LT Std 45 Book"/>
      <family val="2"/>
    </font>
  </fonts>
  <fills count="7">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249977111117893"/>
        <bgColor indexed="64"/>
      </patternFill>
    </fill>
  </fills>
  <borders count="59">
    <border>
      <left/>
      <right/>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auto="1"/>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34">
    <xf numFmtId="0" fontId="0" fillId="0" borderId="0" xfId="0"/>
    <xf numFmtId="0" fontId="3" fillId="0" borderId="0" xfId="0" applyFont="1"/>
    <xf numFmtId="2" fontId="3" fillId="0" borderId="0" xfId="0" applyNumberFormat="1" applyFont="1"/>
    <xf numFmtId="0" fontId="4" fillId="0" borderId="0" xfId="0" applyFont="1"/>
    <xf numFmtId="0" fontId="5" fillId="0" borderId="0" xfId="0" applyFont="1" applyAlignment="1">
      <alignment vertical="center"/>
    </xf>
    <xf numFmtId="0" fontId="6" fillId="4" borderId="21"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0" xfId="0" applyFont="1" applyFill="1" applyBorder="1" applyAlignment="1">
      <alignment horizontal="center" vertical="center" wrapText="1"/>
    </xf>
    <xf numFmtId="0" fontId="3" fillId="0" borderId="0" xfId="0" applyFont="1" applyAlignment="1">
      <alignment vertical="center"/>
    </xf>
    <xf numFmtId="0" fontId="3" fillId="0" borderId="55" xfId="0" applyFont="1" applyBorder="1" applyAlignment="1">
      <alignment horizontal="left"/>
    </xf>
    <xf numFmtId="0" fontId="3" fillId="0" borderId="45" xfId="0" applyFont="1" applyBorder="1" applyAlignment="1">
      <alignment horizontal="center"/>
    </xf>
    <xf numFmtId="44" fontId="3" fillId="0" borderId="0" xfId="2" applyFont="1" applyBorder="1" applyAlignment="1">
      <alignment horizontal="left"/>
    </xf>
    <xf numFmtId="44" fontId="3" fillId="0" borderId="28" xfId="0" applyNumberFormat="1" applyFont="1" applyBorder="1"/>
    <xf numFmtId="44" fontId="3" fillId="0" borderId="4" xfId="0" applyNumberFormat="1" applyFont="1" applyBorder="1"/>
    <xf numFmtId="0" fontId="3" fillId="0" borderId="22" xfId="0" applyFont="1" applyBorder="1" applyAlignment="1">
      <alignment horizontal="left"/>
    </xf>
    <xf numFmtId="0" fontId="3" fillId="0" borderId="29" xfId="0" applyFont="1" applyBorder="1" applyAlignment="1">
      <alignment horizontal="center"/>
    </xf>
    <xf numFmtId="44" fontId="3" fillId="0" borderId="52" xfId="2" applyFont="1" applyBorder="1" applyAlignment="1">
      <alignment horizontal="left"/>
    </xf>
    <xf numFmtId="44" fontId="3" fillId="0" borderId="23" xfId="0" applyNumberFormat="1" applyFont="1" applyBorder="1"/>
    <xf numFmtId="0" fontId="4" fillId="0" borderId="5" xfId="0" applyFont="1" applyBorder="1" applyAlignment="1">
      <alignment horizontal="center"/>
    </xf>
    <xf numFmtId="0" fontId="4" fillId="0" borderId="31" xfId="0" applyFont="1" applyBorder="1" applyAlignment="1">
      <alignment horizontal="center"/>
    </xf>
    <xf numFmtId="0" fontId="4" fillId="0" borderId="36" xfId="0" applyFont="1" applyBorder="1" applyAlignment="1">
      <alignment horizontal="center"/>
    </xf>
    <xf numFmtId="44" fontId="3" fillId="0" borderId="6" xfId="0" applyNumberFormat="1" applyFont="1" applyBorder="1"/>
    <xf numFmtId="0" fontId="3" fillId="0" borderId="0" xfId="0" applyFont="1" applyBorder="1" applyAlignment="1">
      <alignment horizontal="left"/>
    </xf>
    <xf numFmtId="44" fontId="3" fillId="0" borderId="0" xfId="0" applyNumberFormat="1" applyFont="1" applyBorder="1"/>
    <xf numFmtId="0" fontId="3" fillId="0" borderId="26"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5" xfId="0" applyFont="1" applyBorder="1" applyAlignment="1">
      <alignment horizontal="left" vertical="top" wrapText="1"/>
    </xf>
    <xf numFmtId="0" fontId="3" fillId="0" borderId="31" xfId="0" applyFont="1" applyBorder="1" applyAlignment="1">
      <alignment horizontal="left" vertical="top" wrapText="1"/>
    </xf>
    <xf numFmtId="0" fontId="3" fillId="0" borderId="12" xfId="0" applyFont="1" applyBorder="1" applyAlignment="1">
      <alignment horizontal="left" vertical="top" wrapText="1"/>
    </xf>
    <xf numFmtId="44" fontId="3" fillId="0" borderId="0" xfId="0" applyNumberFormat="1" applyFont="1"/>
    <xf numFmtId="0" fontId="6" fillId="4" borderId="30" xfId="0" applyFont="1" applyFill="1" applyBorder="1" applyAlignment="1">
      <alignment horizontal="center" vertical="center"/>
    </xf>
    <xf numFmtId="0" fontId="3" fillId="0" borderId="1" xfId="0" applyFont="1" applyBorder="1" applyAlignment="1">
      <alignment horizontal="left"/>
    </xf>
    <xf numFmtId="0" fontId="3" fillId="0" borderId="53" xfId="0" applyFont="1" applyBorder="1" applyAlignment="1">
      <alignment horizontal="left"/>
    </xf>
    <xf numFmtId="0" fontId="3" fillId="0" borderId="40" xfId="0" applyFont="1" applyBorder="1" applyAlignment="1">
      <alignment horizontal="left"/>
    </xf>
    <xf numFmtId="0" fontId="4" fillId="0" borderId="9" xfId="0" applyFont="1" applyBorder="1" applyAlignment="1">
      <alignment horizontal="center"/>
    </xf>
    <xf numFmtId="0" fontId="4" fillId="0" borderId="39" xfId="0" applyFont="1" applyBorder="1" applyAlignment="1">
      <alignment horizontal="center"/>
    </xf>
    <xf numFmtId="0" fontId="4" fillId="0" borderId="47" xfId="0" applyFont="1" applyBorder="1" applyAlignment="1">
      <alignment horizontal="center"/>
    </xf>
    <xf numFmtId="0" fontId="4" fillId="0" borderId="26" xfId="0" applyFont="1" applyBorder="1" applyAlignment="1">
      <alignment horizontal="left" vertical="top" wrapText="1"/>
    </xf>
    <xf numFmtId="0" fontId="6" fillId="4" borderId="24"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4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3" fillId="0" borderId="50" xfId="0" applyFont="1" applyBorder="1" applyAlignment="1">
      <alignment horizontal="left"/>
    </xf>
    <xf numFmtId="0" fontId="3" fillId="0" borderId="33" xfId="0" applyFont="1" applyBorder="1" applyAlignment="1">
      <alignment horizontal="center"/>
    </xf>
    <xf numFmtId="0" fontId="3" fillId="0" borderId="51" xfId="0" applyFont="1" applyBorder="1" applyAlignment="1">
      <alignment horizontal="center"/>
    </xf>
    <xf numFmtId="44" fontId="3" fillId="0" borderId="48" xfId="0" applyNumberFormat="1" applyFont="1" applyBorder="1"/>
    <xf numFmtId="44" fontId="3" fillId="0" borderId="34" xfId="0" applyNumberFormat="1" applyFont="1" applyBorder="1"/>
    <xf numFmtId="0" fontId="3" fillId="0" borderId="0" xfId="0" applyFont="1" applyBorder="1" applyAlignment="1">
      <alignment horizontal="center"/>
    </xf>
    <xf numFmtId="0" fontId="3" fillId="0" borderId="35" xfId="0" applyFont="1" applyBorder="1" applyAlignment="1">
      <alignment horizontal="center"/>
    </xf>
    <xf numFmtId="44" fontId="3" fillId="0" borderId="45" xfId="0" applyNumberFormat="1" applyFont="1" applyBorder="1"/>
    <xf numFmtId="44" fontId="3" fillId="0" borderId="17" xfId="0" applyNumberFormat="1" applyFont="1" applyBorder="1"/>
    <xf numFmtId="0" fontId="3" fillId="0" borderId="57" xfId="0" applyFont="1" applyBorder="1" applyAlignment="1">
      <alignment horizontal="center"/>
    </xf>
    <xf numFmtId="44" fontId="3" fillId="0" borderId="45" xfId="0" applyNumberFormat="1" applyFont="1" applyFill="1" applyBorder="1"/>
    <xf numFmtId="0" fontId="3" fillId="0" borderId="40" xfId="0" applyFont="1" applyBorder="1" applyAlignment="1">
      <alignment horizontal="center"/>
    </xf>
    <xf numFmtId="0" fontId="3" fillId="0" borderId="52" xfId="0" applyFont="1" applyBorder="1" applyAlignment="1">
      <alignment horizontal="center"/>
    </xf>
    <xf numFmtId="44" fontId="3" fillId="0" borderId="29" xfId="0" applyNumberFormat="1" applyFont="1" applyBorder="1"/>
    <xf numFmtId="44" fontId="3" fillId="0" borderId="54" xfId="0" applyNumberFormat="1" applyFont="1" applyBorder="1"/>
    <xf numFmtId="44" fontId="4" fillId="0" borderId="46" xfId="0" applyNumberFormat="1" applyFont="1" applyBorder="1"/>
    <xf numFmtId="44" fontId="4" fillId="0" borderId="12" xfId="0" applyNumberFormat="1" applyFont="1" applyBorder="1"/>
    <xf numFmtId="0" fontId="6" fillId="4" borderId="25" xfId="0" applyFont="1" applyFill="1" applyBorder="1" applyAlignment="1">
      <alignment horizontal="center" vertical="center"/>
    </xf>
    <xf numFmtId="44" fontId="3" fillId="0" borderId="0" xfId="0" applyNumberFormat="1" applyFont="1" applyBorder="1" applyAlignment="1">
      <alignment horizontal="left"/>
    </xf>
    <xf numFmtId="44" fontId="3" fillId="0" borderId="17" xfId="0" applyNumberFormat="1" applyFont="1" applyBorder="1" applyAlignment="1">
      <alignment horizontal="left"/>
    </xf>
    <xf numFmtId="44" fontId="3" fillId="0" borderId="40" xfId="0" applyNumberFormat="1" applyFont="1" applyBorder="1" applyAlignment="1">
      <alignment horizontal="left"/>
    </xf>
    <xf numFmtId="44" fontId="3" fillId="0" borderId="54" xfId="0" applyNumberFormat="1" applyFont="1" applyBorder="1" applyAlignment="1">
      <alignment horizontal="left"/>
    </xf>
    <xf numFmtId="0" fontId="4" fillId="0" borderId="9" xfId="0" applyFont="1" applyBorder="1" applyAlignment="1">
      <alignment horizontal="center"/>
    </xf>
    <xf numFmtId="44" fontId="4" fillId="0" borderId="39" xfId="0" applyNumberFormat="1" applyFont="1" applyBorder="1" applyAlignment="1"/>
    <xf numFmtId="44" fontId="4" fillId="0" borderId="43" xfId="0" applyNumberFormat="1" applyFont="1" applyBorder="1" applyAlignment="1"/>
    <xf numFmtId="0" fontId="5" fillId="3" borderId="5" xfId="0" applyFont="1" applyFill="1" applyBorder="1" applyAlignment="1">
      <alignment horizontal="center"/>
    </xf>
    <xf numFmtId="44" fontId="5" fillId="3" borderId="31" xfId="0" applyNumberFormat="1" applyFont="1" applyFill="1" applyBorder="1" applyAlignment="1">
      <alignment horizontal="center"/>
    </xf>
    <xf numFmtId="44" fontId="5" fillId="3" borderId="6" xfId="0" applyNumberFormat="1" applyFont="1" applyFill="1" applyBorder="1"/>
    <xf numFmtId="0" fontId="6" fillId="4" borderId="24" xfId="0" applyFont="1" applyFill="1" applyBorder="1" applyAlignment="1">
      <alignment horizontal="center" vertical="center" wrapText="1"/>
    </xf>
    <xf numFmtId="0" fontId="3" fillId="0" borderId="5" xfId="0" applyFont="1" applyBorder="1" applyAlignment="1">
      <alignment horizontal="left"/>
    </xf>
    <xf numFmtId="44" fontId="3" fillId="0" borderId="46" xfId="0" applyNumberFormat="1" applyFont="1" applyBorder="1"/>
    <xf numFmtId="0" fontId="5" fillId="4" borderId="30"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4" xfId="0" applyFont="1" applyFill="1" applyBorder="1" applyAlignment="1">
      <alignment horizontal="center" vertical="center"/>
    </xf>
    <xf numFmtId="0" fontId="3" fillId="0" borderId="50" xfId="0" applyFont="1" applyBorder="1" applyAlignment="1">
      <alignment horizontal="center" vertical="center" wrapText="1"/>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4" fillId="0" borderId="17" xfId="0" applyFont="1" applyBorder="1" applyAlignment="1">
      <alignment horizontal="center" vertical="center"/>
    </xf>
    <xf numFmtId="0" fontId="3" fillId="0" borderId="5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9" xfId="0" applyFont="1" applyBorder="1" applyAlignment="1">
      <alignment horizontal="center" vertical="center"/>
    </xf>
    <xf numFmtId="0" fontId="3" fillId="0" borderId="52" xfId="0" applyFont="1" applyBorder="1" applyAlignment="1">
      <alignment horizontal="center" vertical="center"/>
    </xf>
    <xf numFmtId="0" fontId="4" fillId="0" borderId="54" xfId="0" applyFont="1" applyBorder="1" applyAlignment="1">
      <alignment horizontal="center" vertical="center"/>
    </xf>
    <xf numFmtId="0" fontId="3" fillId="0" borderId="18" xfId="0" applyFont="1" applyBorder="1" applyAlignment="1">
      <alignment horizontal="center" vertical="center" wrapText="1"/>
    </xf>
    <xf numFmtId="0" fontId="3" fillId="0" borderId="29" xfId="0" applyFont="1" applyBorder="1" applyAlignment="1">
      <alignment vertical="center"/>
    </xf>
    <xf numFmtId="0" fontId="3" fillId="0" borderId="32" xfId="0" applyFont="1" applyBorder="1" applyAlignment="1">
      <alignment horizontal="center" vertical="center" wrapText="1"/>
    </xf>
    <xf numFmtId="0" fontId="3" fillId="0" borderId="49" xfId="0" applyFont="1" applyBorder="1" applyAlignment="1">
      <alignment horizontal="center" vertical="center"/>
    </xf>
    <xf numFmtId="0" fontId="8" fillId="3" borderId="5" xfId="0" applyFont="1" applyFill="1" applyBorder="1" applyAlignment="1">
      <alignment vertical="center"/>
    </xf>
    <xf numFmtId="0" fontId="8" fillId="3" borderId="36" xfId="0" applyFont="1" applyFill="1" applyBorder="1" applyAlignment="1">
      <alignment vertical="center"/>
    </xf>
    <xf numFmtId="0" fontId="8" fillId="3" borderId="36" xfId="0" applyFont="1" applyFill="1" applyBorder="1" applyAlignment="1">
      <alignment horizontal="center" vertical="center"/>
    </xf>
    <xf numFmtId="0" fontId="8" fillId="3" borderId="46" xfId="0" applyFont="1" applyFill="1" applyBorder="1" applyAlignment="1">
      <alignment vertical="center"/>
    </xf>
    <xf numFmtId="0" fontId="8" fillId="3" borderId="46"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9" fillId="0" borderId="0" xfId="0" applyFont="1"/>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3" fillId="0" borderId="1" xfId="0" applyFont="1" applyBorder="1" applyAlignment="1">
      <alignment vertical="center"/>
    </xf>
    <xf numFmtId="43" fontId="3" fillId="0" borderId="0" xfId="1" applyFont="1" applyBorder="1" applyAlignment="1">
      <alignment vertical="center"/>
    </xf>
    <xf numFmtId="43" fontId="3" fillId="0" borderId="51" xfId="1" applyFont="1" applyBorder="1" applyAlignment="1">
      <alignment vertical="center"/>
    </xf>
    <xf numFmtId="43" fontId="3" fillId="0" borderId="17" xfId="1" applyFont="1" applyBorder="1" applyAlignment="1">
      <alignment vertical="center"/>
    </xf>
    <xf numFmtId="0" fontId="3" fillId="0" borderId="53" xfId="0" applyFont="1" applyBorder="1" applyAlignment="1">
      <alignment vertical="center"/>
    </xf>
    <xf numFmtId="43" fontId="3" fillId="0" borderId="40" xfId="1" applyFont="1" applyBorder="1" applyAlignment="1">
      <alignment vertical="center"/>
    </xf>
    <xf numFmtId="43" fontId="3" fillId="0" borderId="52" xfId="1" applyFont="1" applyBorder="1" applyAlignment="1">
      <alignment vertical="center"/>
    </xf>
    <xf numFmtId="43" fontId="3" fillId="0" borderId="54" xfId="1" applyFont="1" applyBorder="1" applyAlignment="1">
      <alignment vertical="center"/>
    </xf>
    <xf numFmtId="0" fontId="4" fillId="0" borderId="5" xfId="0" applyFont="1" applyBorder="1" applyAlignment="1">
      <alignment vertical="center"/>
    </xf>
    <xf numFmtId="44" fontId="4" fillId="0" borderId="31" xfId="2" applyFont="1" applyBorder="1" applyAlignment="1">
      <alignment vertical="center"/>
    </xf>
    <xf numFmtId="44" fontId="4" fillId="0" borderId="36" xfId="2" applyFont="1" applyBorder="1" applyAlignment="1">
      <alignment vertical="center"/>
    </xf>
    <xf numFmtId="44" fontId="4" fillId="0" borderId="12" xfId="0" applyNumberFormat="1" applyFont="1" applyBorder="1" applyAlignment="1">
      <alignment vertical="center"/>
    </xf>
    <xf numFmtId="0" fontId="10" fillId="0" borderId="0" xfId="0" applyFont="1" applyAlignment="1">
      <alignment horizontal="left"/>
    </xf>
    <xf numFmtId="0" fontId="10" fillId="0" borderId="0" xfId="0" applyFont="1" applyAlignment="1">
      <alignment horizontal="left"/>
    </xf>
    <xf numFmtId="44" fontId="9" fillId="0" borderId="0" xfId="2" applyFont="1"/>
    <xf numFmtId="44" fontId="9" fillId="0" borderId="0" xfId="2" applyFont="1" applyFill="1"/>
    <xf numFmtId="15" fontId="11"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left"/>
    </xf>
    <xf numFmtId="15" fontId="11" fillId="0" borderId="0" xfId="0" applyNumberFormat="1" applyFont="1" applyAlignment="1">
      <alignment horizontal="left"/>
    </xf>
    <xf numFmtId="164" fontId="11" fillId="0" borderId="0" xfId="0" applyNumberFormat="1" applyFont="1" applyAlignment="1">
      <alignment horizontal="left"/>
    </xf>
    <xf numFmtId="0" fontId="12" fillId="3" borderId="30" xfId="0" applyFont="1" applyFill="1" applyBorder="1" applyAlignment="1">
      <alignment horizontal="center"/>
    </xf>
    <xf numFmtId="0" fontId="12" fillId="3" borderId="24" xfId="0" applyFont="1" applyFill="1" applyBorder="1" applyAlignment="1">
      <alignment horizontal="center"/>
    </xf>
    <xf numFmtId="0" fontId="12" fillId="3" borderId="25" xfId="0" applyFont="1" applyFill="1" applyBorder="1" applyAlignment="1">
      <alignment horizontal="center"/>
    </xf>
    <xf numFmtId="164" fontId="9" fillId="0" borderId="0" xfId="1" applyNumberFormat="1" applyFont="1"/>
    <xf numFmtId="0" fontId="13" fillId="4" borderId="30" xfId="0" applyFont="1" applyFill="1" applyBorder="1" applyAlignment="1">
      <alignment horizontal="center" vertical="center"/>
    </xf>
    <xf numFmtId="0" fontId="13" fillId="4" borderId="25" xfId="0" applyFont="1" applyFill="1" applyBorder="1" applyAlignment="1">
      <alignment horizontal="center" vertical="center"/>
    </xf>
    <xf numFmtId="0" fontId="14" fillId="0" borderId="0" xfId="0" applyFont="1" applyBorder="1" applyAlignment="1">
      <alignment horizontal="center" vertical="center"/>
    </xf>
    <xf numFmtId="0" fontId="13" fillId="4" borderId="26" xfId="0" applyFont="1" applyFill="1" applyBorder="1" applyAlignment="1">
      <alignment horizontal="center" vertical="center"/>
    </xf>
    <xf numFmtId="0" fontId="13" fillId="4" borderId="27" xfId="0" applyFont="1" applyFill="1" applyBorder="1" applyAlignment="1">
      <alignment horizontal="center" vertical="center" wrapText="1" shrinkToFit="1"/>
    </xf>
    <xf numFmtId="0" fontId="13" fillId="4" borderId="2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2" fillId="4" borderId="26" xfId="0" applyFont="1" applyFill="1" applyBorder="1" applyAlignment="1">
      <alignment horizontal="center" vertical="center"/>
    </xf>
    <xf numFmtId="0" fontId="12" fillId="4" borderId="34" xfId="0" applyFont="1" applyFill="1" applyBorder="1" applyAlignment="1">
      <alignment horizontal="center" vertical="center"/>
    </xf>
    <xf numFmtId="0" fontId="9" fillId="0" borderId="0" xfId="0" applyFont="1" applyBorder="1" applyAlignment="1"/>
    <xf numFmtId="0" fontId="12" fillId="4" borderId="30" xfId="0" applyFont="1" applyFill="1" applyBorder="1" applyAlignment="1">
      <alignment horizontal="center" vertical="center"/>
    </xf>
    <xf numFmtId="0" fontId="12" fillId="4" borderId="25" xfId="0" applyFont="1" applyFill="1" applyBorder="1" applyAlignment="1">
      <alignment horizontal="center" vertical="center"/>
    </xf>
    <xf numFmtId="0" fontId="9" fillId="0" borderId="0" xfId="0" applyFont="1" applyAlignment="1"/>
    <xf numFmtId="0" fontId="11" fillId="0" borderId="22" xfId="0" applyFont="1" applyFill="1" applyBorder="1"/>
    <xf numFmtId="43" fontId="11" fillId="0" borderId="23" xfId="1" applyFont="1" applyFill="1" applyBorder="1"/>
    <xf numFmtId="0" fontId="9" fillId="0" borderId="0" xfId="0" applyFont="1" applyBorder="1"/>
    <xf numFmtId="0" fontId="10" fillId="0" borderId="15" xfId="0" applyFont="1" applyFill="1" applyBorder="1"/>
    <xf numFmtId="44" fontId="10" fillId="0" borderId="13" xfId="2" applyFont="1" applyFill="1" applyBorder="1"/>
    <xf numFmtId="44" fontId="10" fillId="0" borderId="3" xfId="2" applyFont="1" applyFill="1" applyBorder="1"/>
    <xf numFmtId="44" fontId="10" fillId="0" borderId="0" xfId="2" applyFont="1" applyFill="1" applyBorder="1"/>
    <xf numFmtId="0" fontId="11" fillId="0" borderId="14" xfId="0" applyNumberFormat="1" applyFont="1" applyFill="1" applyBorder="1"/>
    <xf numFmtId="44" fontId="11" fillId="0" borderId="8" xfId="2" applyFont="1" applyFill="1" applyBorder="1"/>
    <xf numFmtId="44" fontId="9" fillId="0" borderId="0" xfId="2" applyFont="1" applyBorder="1"/>
    <xf numFmtId="0" fontId="11" fillId="0" borderId="26" xfId="0" applyFont="1" applyFill="1" applyBorder="1"/>
    <xf numFmtId="44" fontId="11" fillId="0" borderId="28" xfId="2" applyFont="1" applyFill="1" applyBorder="1"/>
    <xf numFmtId="0" fontId="9" fillId="0" borderId="0" xfId="0" applyFont="1" applyFill="1"/>
    <xf numFmtId="44" fontId="9" fillId="0" borderId="0" xfId="0" applyNumberFormat="1" applyFont="1" applyFill="1"/>
    <xf numFmtId="0" fontId="11" fillId="0" borderId="15" xfId="0" applyFont="1" applyFill="1" applyBorder="1"/>
    <xf numFmtId="43" fontId="11" fillId="0" borderId="3" xfId="1" applyFont="1" applyFill="1" applyBorder="1"/>
    <xf numFmtId="44" fontId="11" fillId="0" borderId="13" xfId="2" applyFont="1" applyFill="1" applyBorder="1"/>
    <xf numFmtId="44" fontId="11" fillId="0" borderId="3" xfId="2" applyFont="1" applyFill="1" applyBorder="1"/>
    <xf numFmtId="44" fontId="11" fillId="0" borderId="0" xfId="2" applyFont="1" applyFill="1" applyBorder="1"/>
    <xf numFmtId="0" fontId="11" fillId="0" borderId="2" xfId="0" applyFont="1" applyFill="1" applyBorder="1"/>
    <xf numFmtId="0" fontId="11" fillId="0" borderId="1" xfId="2" applyNumberFormat="1" applyFont="1" applyBorder="1" applyAlignment="1">
      <alignment horizontal="left"/>
    </xf>
    <xf numFmtId="44" fontId="11" fillId="0" borderId="4" xfId="2" applyFont="1" applyFill="1" applyBorder="1"/>
    <xf numFmtId="0" fontId="11" fillId="2" borderId="2" xfId="0" applyFont="1" applyFill="1" applyBorder="1"/>
    <xf numFmtId="43" fontId="11" fillId="2" borderId="3" xfId="1" applyFont="1" applyFill="1" applyBorder="1"/>
    <xf numFmtId="8" fontId="11" fillId="0" borderId="3" xfId="2" applyNumberFormat="1" applyFont="1" applyFill="1" applyBorder="1"/>
    <xf numFmtId="0" fontId="11" fillId="0" borderId="1" xfId="0" applyFont="1" applyFill="1" applyBorder="1"/>
    <xf numFmtId="0" fontId="10" fillId="2" borderId="5" xfId="0" applyFont="1" applyFill="1" applyBorder="1"/>
    <xf numFmtId="2" fontId="10" fillId="2" borderId="6" xfId="0" applyNumberFormat="1" applyFont="1" applyFill="1" applyBorder="1"/>
    <xf numFmtId="0" fontId="15" fillId="5" borderId="16" xfId="0" applyFont="1" applyFill="1" applyBorder="1"/>
    <xf numFmtId="44" fontId="15" fillId="5" borderId="10" xfId="2" applyFont="1" applyFill="1" applyBorder="1"/>
    <xf numFmtId="44" fontId="15" fillId="5" borderId="11" xfId="2" applyFont="1" applyFill="1" applyBorder="1"/>
    <xf numFmtId="0" fontId="16" fillId="0" borderId="0" xfId="0" applyFont="1" applyFill="1" applyBorder="1"/>
    <xf numFmtId="2" fontId="3" fillId="0" borderId="0" xfId="0" applyNumberFormat="1" applyFont="1" applyFill="1" applyBorder="1"/>
    <xf numFmtId="0" fontId="15" fillId="5" borderId="22" xfId="0" applyFont="1" applyFill="1" applyBorder="1"/>
    <xf numFmtId="43" fontId="15" fillId="5" borderId="29" xfId="1" applyFont="1" applyFill="1" applyBorder="1"/>
    <xf numFmtId="43" fontId="15" fillId="5" borderId="23" xfId="1" applyFont="1" applyFill="1" applyBorder="1"/>
    <xf numFmtId="0" fontId="11" fillId="0" borderId="15" xfId="0" applyFont="1" applyBorder="1"/>
    <xf numFmtId="0" fontId="15" fillId="5" borderId="15" xfId="0" applyFont="1" applyFill="1" applyBorder="1"/>
    <xf numFmtId="43" fontId="15" fillId="5" borderId="13" xfId="1" applyFont="1" applyFill="1" applyBorder="1"/>
    <xf numFmtId="43" fontId="15" fillId="5" borderId="3" xfId="1" applyFont="1" applyFill="1" applyBorder="1"/>
    <xf numFmtId="0" fontId="10" fillId="2" borderId="1" xfId="0" applyFont="1" applyFill="1" applyBorder="1"/>
    <xf numFmtId="44" fontId="10" fillId="2" borderId="4" xfId="2" applyFont="1" applyFill="1" applyBorder="1"/>
    <xf numFmtId="0" fontId="11" fillId="0" borderId="7" xfId="0" applyFont="1" applyFill="1" applyBorder="1"/>
    <xf numFmtId="10" fontId="11" fillId="0" borderId="8" xfId="3" applyNumberFormat="1" applyFont="1" applyFill="1" applyBorder="1"/>
    <xf numFmtId="44" fontId="15" fillId="5" borderId="13" xfId="2" applyFont="1" applyFill="1" applyBorder="1"/>
    <xf numFmtId="44" fontId="15" fillId="5" borderId="3" xfId="2" applyFont="1" applyFill="1" applyBorder="1"/>
    <xf numFmtId="44" fontId="10" fillId="2" borderId="21" xfId="2" applyFont="1" applyFill="1" applyBorder="1" applyAlignment="1">
      <alignment horizontal="left"/>
    </xf>
    <xf numFmtId="10" fontId="10" fillId="2" borderId="20" xfId="3" applyNumberFormat="1" applyFont="1" applyFill="1" applyBorder="1"/>
    <xf numFmtId="10" fontId="11" fillId="0" borderId="3" xfId="3" applyNumberFormat="1" applyFont="1" applyFill="1" applyBorder="1"/>
    <xf numFmtId="44" fontId="10" fillId="0" borderId="0" xfId="2" applyFont="1" applyFill="1" applyBorder="1" applyAlignment="1">
      <alignment horizontal="left"/>
    </xf>
    <xf numFmtId="10" fontId="10" fillId="0" borderId="0" xfId="3" applyNumberFormat="1" applyFont="1" applyFill="1" applyBorder="1"/>
    <xf numFmtId="0" fontId="11" fillId="0" borderId="32" xfId="0" applyFont="1" applyFill="1" applyBorder="1"/>
    <xf numFmtId="10" fontId="11" fillId="0" borderId="19" xfId="3" applyNumberFormat="1" applyFont="1" applyFill="1" applyBorder="1"/>
    <xf numFmtId="0" fontId="11" fillId="0" borderId="18" xfId="0" applyFont="1" applyFill="1" applyBorder="1"/>
    <xf numFmtId="44" fontId="11" fillId="0" borderId="13" xfId="2" applyNumberFormat="1" applyFont="1" applyFill="1" applyBorder="1"/>
    <xf numFmtId="44" fontId="17" fillId="0" borderId="0" xfId="2" applyFont="1" applyFill="1" applyBorder="1" applyAlignment="1">
      <alignment horizontal="center"/>
    </xf>
    <xf numFmtId="0" fontId="10" fillId="2" borderId="21" xfId="0" applyFont="1" applyFill="1" applyBorder="1"/>
    <xf numFmtId="44" fontId="11" fillId="0" borderId="17" xfId="2" applyFont="1" applyFill="1" applyBorder="1"/>
    <xf numFmtId="44" fontId="10" fillId="0" borderId="0" xfId="5" applyFont="1" applyBorder="1" applyAlignment="1">
      <alignment horizontal="center"/>
    </xf>
    <xf numFmtId="0" fontId="17" fillId="0" borderId="0" xfId="0" applyFont="1" applyFill="1" applyBorder="1"/>
    <xf numFmtId="10" fontId="17" fillId="0" borderId="0" xfId="1" applyNumberFormat="1" applyFont="1" applyFill="1" applyBorder="1"/>
    <xf numFmtId="0" fontId="10" fillId="2" borderId="15" xfId="0" applyFont="1" applyFill="1" applyBorder="1"/>
    <xf numFmtId="44" fontId="10" fillId="2" borderId="13" xfId="2" applyFont="1" applyFill="1" applyBorder="1"/>
    <xf numFmtId="44" fontId="10" fillId="2" borderId="3" xfId="2" applyFont="1" applyFill="1" applyBorder="1"/>
    <xf numFmtId="44" fontId="11" fillId="0" borderId="0" xfId="5" applyFont="1" applyBorder="1"/>
    <xf numFmtId="0" fontId="11" fillId="0" borderId="0" xfId="0" applyFont="1" applyBorder="1"/>
    <xf numFmtId="165" fontId="16" fillId="0" borderId="0" xfId="0" applyNumberFormat="1" applyFont="1" applyFill="1" applyBorder="1" applyAlignment="1">
      <alignment horizontal="left"/>
    </xf>
    <xf numFmtId="43" fontId="11" fillId="0" borderId="13" xfId="3" applyNumberFormat="1" applyFont="1" applyFill="1" applyBorder="1"/>
    <xf numFmtId="43" fontId="11" fillId="0" borderId="3" xfId="3" applyNumberFormat="1" applyFont="1" applyFill="1" applyBorder="1"/>
    <xf numFmtId="39" fontId="11" fillId="0" borderId="0" xfId="5" applyNumberFormat="1" applyFont="1" applyBorder="1"/>
    <xf numFmtId="44" fontId="11" fillId="0" borderId="0" xfId="2" applyFont="1" applyBorder="1"/>
    <xf numFmtId="0" fontId="17" fillId="0" borderId="0" xfId="0" applyFont="1" applyFill="1" applyBorder="1" applyAlignment="1"/>
    <xf numFmtId="4" fontId="11" fillId="0" borderId="13" xfId="3" applyNumberFormat="1" applyFont="1" applyFill="1" applyBorder="1"/>
    <xf numFmtId="4" fontId="11" fillId="0" borderId="3" xfId="3" applyNumberFormat="1" applyFont="1" applyFill="1" applyBorder="1"/>
    <xf numFmtId="43" fontId="11" fillId="0" borderId="0" xfId="3" applyNumberFormat="1" applyFont="1" applyFill="1" applyBorder="1"/>
    <xf numFmtId="0" fontId="17" fillId="0" borderId="0" xfId="0" applyFont="1" applyBorder="1"/>
    <xf numFmtId="44" fontId="17" fillId="0" borderId="0" xfId="1" applyNumberFormat="1" applyFont="1" applyBorder="1"/>
    <xf numFmtId="4" fontId="11" fillId="0" borderId="0" xfId="3" applyNumberFormat="1" applyFont="1" applyFill="1" applyBorder="1"/>
    <xf numFmtId="44" fontId="9" fillId="0" borderId="0" xfId="2" applyFont="1" applyFill="1" applyBorder="1"/>
    <xf numFmtId="0" fontId="12" fillId="3" borderId="5" xfId="0" applyFont="1" applyFill="1" applyBorder="1" applyAlignment="1"/>
    <xf numFmtId="0" fontId="12" fillId="3" borderId="31" xfId="0" applyFont="1" applyFill="1" applyBorder="1" applyAlignment="1"/>
    <xf numFmtId="44" fontId="12" fillId="3" borderId="12" xfId="2" applyFont="1" applyFill="1" applyBorder="1" applyAlignment="1">
      <alignment horizontal="right"/>
    </xf>
    <xf numFmtId="0" fontId="11" fillId="0" borderId="0" xfId="0" applyFont="1"/>
    <xf numFmtId="0" fontId="12" fillId="0" borderId="33" xfId="0" applyFont="1" applyFill="1" applyBorder="1" applyAlignment="1"/>
    <xf numFmtId="44" fontId="18" fillId="0" borderId="33" xfId="2" applyFont="1" applyFill="1" applyBorder="1" applyAlignment="1">
      <alignment horizontal="right"/>
    </xf>
    <xf numFmtId="44" fontId="12" fillId="0" borderId="0" xfId="2" applyFont="1" applyFill="1" applyBorder="1" applyAlignment="1">
      <alignment horizontal="right"/>
    </xf>
    <xf numFmtId="44" fontId="10" fillId="0" borderId="0" xfId="5" applyFont="1" applyBorder="1" applyAlignment="1">
      <alignment horizontal="center"/>
    </xf>
    <xf numFmtId="44" fontId="10" fillId="0" borderId="0" xfId="0" applyNumberFormat="1" applyFont="1" applyBorder="1"/>
    <xf numFmtId="0" fontId="12" fillId="3" borderId="30" xfId="0" applyFont="1" applyFill="1" applyBorder="1" applyAlignment="1">
      <alignment horizontal="left"/>
    </xf>
    <xf numFmtId="0" fontId="12" fillId="3" borderId="24" xfId="0" applyFont="1" applyFill="1" applyBorder="1" applyAlignment="1">
      <alignment horizontal="left"/>
    </xf>
    <xf numFmtId="44" fontId="12" fillId="3" borderId="25" xfId="2" applyFont="1" applyFill="1" applyBorder="1"/>
    <xf numFmtId="44" fontId="18" fillId="0" borderId="0" xfId="2" applyFont="1" applyFill="1" applyBorder="1" applyAlignment="1">
      <alignment horizontal="right"/>
    </xf>
    <xf numFmtId="43" fontId="9" fillId="0" borderId="0" xfId="1" applyFont="1" applyBorder="1"/>
    <xf numFmtId="43" fontId="11" fillId="0" borderId="0" xfId="4" applyFont="1" applyBorder="1"/>
    <xf numFmtId="0" fontId="11" fillId="0" borderId="0" xfId="0" applyFont="1" applyFill="1" applyBorder="1" applyAlignment="1">
      <alignment horizontal="left"/>
    </xf>
    <xf numFmtId="10" fontId="11" fillId="0" borderId="0" xfId="3" applyNumberFormat="1" applyFont="1" applyFill="1" applyBorder="1" applyAlignment="1">
      <alignment horizontal="right"/>
    </xf>
    <xf numFmtId="44" fontId="11" fillId="0" borderId="0" xfId="2" applyFont="1" applyFill="1" applyBorder="1" applyAlignment="1">
      <alignment horizontal="right"/>
    </xf>
    <xf numFmtId="44" fontId="19" fillId="0" borderId="0" xfId="2" applyFont="1" applyBorder="1"/>
    <xf numFmtId="44" fontId="19" fillId="0" borderId="0" xfId="2" applyFont="1" applyFill="1" applyBorder="1"/>
    <xf numFmtId="0" fontId="12" fillId="4" borderId="26" xfId="2" applyNumberFormat="1" applyFont="1" applyFill="1" applyBorder="1" applyAlignment="1">
      <alignment horizontal="center" vertical="center" wrapText="1"/>
    </xf>
    <xf numFmtId="0" fontId="12" fillId="4" borderId="33" xfId="2" applyNumberFormat="1" applyFont="1" applyFill="1" applyBorder="1" applyAlignment="1">
      <alignment horizontal="center" vertical="center" wrapText="1"/>
    </xf>
    <xf numFmtId="0" fontId="12" fillId="4" borderId="34" xfId="2" applyNumberFormat="1" applyFont="1" applyFill="1" applyBorder="1" applyAlignment="1">
      <alignment horizontal="center" vertical="center" wrapText="1"/>
    </xf>
    <xf numFmtId="0" fontId="12" fillId="4" borderId="5" xfId="2" applyNumberFormat="1" applyFont="1" applyFill="1" applyBorder="1" applyAlignment="1">
      <alignment horizontal="center" vertical="center" wrapText="1"/>
    </xf>
    <xf numFmtId="0" fontId="12" fillId="4" borderId="31" xfId="2" applyNumberFormat="1" applyFont="1" applyFill="1" applyBorder="1" applyAlignment="1">
      <alignment horizontal="center" vertical="center" wrapText="1"/>
    </xf>
    <xf numFmtId="0" fontId="12" fillId="4" borderId="12" xfId="2" applyNumberFormat="1" applyFont="1" applyFill="1" applyBorder="1" applyAlignment="1">
      <alignment horizontal="center" vertical="center" wrapText="1"/>
    </xf>
    <xf numFmtId="10" fontId="19" fillId="0" borderId="0" xfId="3" applyNumberFormat="1" applyFont="1" applyFill="1" applyBorder="1"/>
    <xf numFmtId="0" fontId="10" fillId="5" borderId="30" xfId="2" applyNumberFormat="1" applyFont="1" applyFill="1" applyBorder="1" applyAlignment="1">
      <alignment horizontal="center" vertical="center"/>
    </xf>
    <xf numFmtId="0" fontId="10" fillId="5" borderId="24" xfId="2" applyNumberFormat="1" applyFont="1" applyFill="1" applyBorder="1" applyAlignment="1">
      <alignment horizontal="center" vertical="center"/>
    </xf>
    <xf numFmtId="0" fontId="10" fillId="5" borderId="24" xfId="2" applyNumberFormat="1" applyFont="1" applyFill="1" applyBorder="1" applyAlignment="1">
      <alignment horizontal="center" vertical="center"/>
    </xf>
    <xf numFmtId="0" fontId="10" fillId="5" borderId="25" xfId="2" applyNumberFormat="1" applyFont="1" applyFill="1" applyBorder="1" applyAlignment="1">
      <alignment horizontal="center" vertical="center"/>
    </xf>
    <xf numFmtId="44" fontId="13" fillId="0" borderId="0" xfId="2" applyFont="1" applyFill="1" applyBorder="1"/>
    <xf numFmtId="0" fontId="11" fillId="0" borderId="7" xfId="0" applyNumberFormat="1" applyFont="1" applyFill="1" applyBorder="1"/>
    <xf numFmtId="0" fontId="11" fillId="0" borderId="37" xfId="0" applyNumberFormat="1" applyFont="1" applyFill="1" applyBorder="1"/>
    <xf numFmtId="44" fontId="11" fillId="0" borderId="37" xfId="2" applyFont="1" applyFill="1" applyBorder="1"/>
    <xf numFmtId="166" fontId="11" fillId="0" borderId="38" xfId="3" applyNumberFormat="1" applyFont="1" applyFill="1" applyBorder="1"/>
    <xf numFmtId="0" fontId="11" fillId="0" borderId="2" xfId="0" applyNumberFormat="1" applyFont="1" applyFill="1" applyBorder="1"/>
    <xf numFmtId="44" fontId="11" fillId="0" borderId="41" xfId="0" applyNumberFormat="1" applyFont="1" applyFill="1" applyBorder="1"/>
    <xf numFmtId="44" fontId="11" fillId="0" borderId="41" xfId="2" applyFont="1" applyFill="1" applyBorder="1"/>
    <xf numFmtId="166" fontId="11" fillId="0" borderId="42" xfId="3" applyNumberFormat="1" applyFont="1" applyFill="1" applyBorder="1"/>
    <xf numFmtId="0" fontId="12" fillId="0" borderId="0" xfId="2" applyNumberFormat="1" applyFont="1" applyFill="1" applyBorder="1" applyAlignment="1">
      <alignment vertical="center" wrapText="1"/>
    </xf>
    <xf numFmtId="43" fontId="17" fillId="0" borderId="0" xfId="1" applyFont="1" applyBorder="1"/>
    <xf numFmtId="0" fontId="11" fillId="0" borderId="41" xfId="0" applyNumberFormat="1" applyFont="1" applyFill="1" applyBorder="1"/>
    <xf numFmtId="0" fontId="12" fillId="0" borderId="0" xfId="2" applyNumberFormat="1" applyFont="1" applyFill="1" applyBorder="1" applyAlignment="1">
      <alignment horizontal="center" vertical="center"/>
    </xf>
    <xf numFmtId="44" fontId="17" fillId="0" borderId="0" xfId="2" applyFont="1" applyFill="1" applyBorder="1"/>
    <xf numFmtId="166" fontId="11" fillId="0" borderId="0" xfId="3" applyNumberFormat="1" applyFont="1" applyFill="1" applyBorder="1"/>
    <xf numFmtId="44" fontId="17" fillId="0" borderId="0" xfId="2" applyFont="1" applyBorder="1"/>
    <xf numFmtId="44" fontId="11" fillId="0" borderId="0" xfId="2" applyFont="1"/>
    <xf numFmtId="0" fontId="3" fillId="0" borderId="0" xfId="0" applyFont="1" applyBorder="1"/>
    <xf numFmtId="0" fontId="10" fillId="2" borderId="16" xfId="0" applyFont="1" applyFill="1" applyBorder="1"/>
    <xf numFmtId="44" fontId="10" fillId="2" borderId="11" xfId="2" applyFont="1" applyFill="1" applyBorder="1"/>
    <xf numFmtId="43" fontId="9" fillId="0" borderId="0" xfId="1" applyFont="1"/>
    <xf numFmtId="44" fontId="11" fillId="0" borderId="41" xfId="2" applyFont="1" applyFill="1" applyBorder="1" applyAlignment="1">
      <alignment horizontal="left" wrapText="1"/>
    </xf>
    <xf numFmtId="0" fontId="12" fillId="4" borderId="33"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12" xfId="0" applyFont="1" applyFill="1" applyBorder="1" applyAlignment="1">
      <alignment horizontal="center" vertical="center"/>
    </xf>
    <xf numFmtId="0" fontId="11" fillId="0" borderId="22" xfId="0" applyNumberFormat="1" applyFont="1" applyFill="1" applyBorder="1"/>
    <xf numFmtId="43" fontId="11" fillId="0" borderId="58" xfId="1" applyFont="1" applyBorder="1"/>
    <xf numFmtId="44" fontId="11" fillId="0" borderId="58" xfId="2" applyFont="1" applyBorder="1"/>
    <xf numFmtId="44" fontId="9" fillId="0" borderId="58" xfId="2" applyFont="1" applyBorder="1"/>
    <xf numFmtId="43" fontId="11" fillId="0" borderId="29" xfId="1" applyFont="1" applyBorder="1"/>
    <xf numFmtId="44" fontId="11" fillId="0" borderId="29" xfId="2" applyFont="1" applyBorder="1"/>
    <xf numFmtId="44" fontId="9" fillId="0" borderId="29" xfId="2" applyFont="1" applyBorder="1"/>
    <xf numFmtId="44" fontId="11" fillId="0" borderId="13" xfId="2" applyFont="1" applyBorder="1"/>
    <xf numFmtId="0" fontId="3" fillId="0" borderId="9" xfId="0" applyNumberFormat="1" applyFont="1" applyFill="1" applyBorder="1"/>
    <xf numFmtId="0" fontId="3" fillId="0" borderId="39" xfId="0" applyNumberFormat="1" applyFont="1" applyFill="1" applyBorder="1"/>
    <xf numFmtId="44" fontId="11" fillId="0" borderId="39" xfId="2" applyFont="1" applyFill="1" applyBorder="1"/>
    <xf numFmtId="44" fontId="11" fillId="0" borderId="43" xfId="2" applyFont="1" applyFill="1" applyBorder="1"/>
    <xf numFmtId="43" fontId="11" fillId="0" borderId="13" xfId="1" applyFont="1" applyBorder="1"/>
    <xf numFmtId="44" fontId="9" fillId="0" borderId="0" xfId="0" applyNumberFormat="1" applyFont="1"/>
    <xf numFmtId="0" fontId="12" fillId="3" borderId="30" xfId="0" applyNumberFormat="1" applyFont="1" applyFill="1" applyBorder="1"/>
    <xf numFmtId="0" fontId="12" fillId="3" borderId="24" xfId="0" applyNumberFormat="1" applyFont="1" applyFill="1" applyBorder="1"/>
    <xf numFmtId="44" fontId="12" fillId="3" borderId="24" xfId="2" applyFont="1" applyFill="1" applyBorder="1"/>
    <xf numFmtId="166" fontId="12" fillId="3" borderId="25" xfId="2" applyNumberFormat="1" applyFont="1" applyFill="1" applyBorder="1"/>
    <xf numFmtId="166" fontId="9" fillId="0" borderId="0" xfId="2" applyNumberFormat="1" applyFont="1" applyAlignment="1">
      <alignment horizontal="right"/>
    </xf>
    <xf numFmtId="43" fontId="11" fillId="0" borderId="49" xfId="1" applyFont="1" applyBorder="1"/>
    <xf numFmtId="44" fontId="11" fillId="0" borderId="10" xfId="2" applyFont="1" applyBorder="1"/>
    <xf numFmtId="0" fontId="10" fillId="2" borderId="30" xfId="0" applyFont="1" applyFill="1" applyBorder="1" applyAlignment="1">
      <alignment horizontal="center"/>
    </xf>
    <xf numFmtId="0" fontId="10" fillId="2" borderId="24" xfId="0" applyFont="1" applyFill="1" applyBorder="1" applyAlignment="1">
      <alignment horizontal="center"/>
    </xf>
    <xf numFmtId="0" fontId="10" fillId="2" borderId="56" xfId="0" applyFont="1" applyFill="1" applyBorder="1" applyAlignment="1">
      <alignment horizontal="center"/>
    </xf>
    <xf numFmtId="44" fontId="10" fillId="2" borderId="56" xfId="0" applyNumberFormat="1" applyFont="1" applyFill="1" applyBorder="1" applyAlignment="1"/>
    <xf numFmtId="44" fontId="10" fillId="6" borderId="25" xfId="2" applyFont="1" applyFill="1" applyBorder="1"/>
    <xf numFmtId="166" fontId="12" fillId="0" borderId="0" xfId="2" applyNumberFormat="1" applyFont="1" applyFill="1" applyBorder="1"/>
    <xf numFmtId="166" fontId="9" fillId="0" borderId="0" xfId="2" applyNumberFormat="1" applyFont="1" applyFill="1"/>
    <xf numFmtId="0" fontId="10" fillId="0" borderId="0" xfId="0" applyFont="1" applyFill="1" applyBorder="1"/>
    <xf numFmtId="0" fontId="5" fillId="4" borderId="30" xfId="0" applyFont="1" applyFill="1" applyBorder="1" applyAlignment="1">
      <alignment vertical="center"/>
    </xf>
    <xf numFmtId="0" fontId="3" fillId="0" borderId="26" xfId="0" applyFont="1" applyBorder="1" applyAlignment="1">
      <alignment vertical="center" wrapText="1"/>
    </xf>
    <xf numFmtId="44" fontId="3" fillId="0" borderId="45" xfId="2" applyFont="1" applyBorder="1" applyAlignment="1">
      <alignment horizontal="center" vertical="center"/>
    </xf>
    <xf numFmtId="44" fontId="3" fillId="0" borderId="4" xfId="2" applyFont="1" applyBorder="1" applyAlignment="1">
      <alignment horizontal="center" vertical="center"/>
    </xf>
    <xf numFmtId="0" fontId="3" fillId="0" borderId="22" xfId="0" applyFont="1" applyBorder="1" applyAlignment="1">
      <alignment vertical="center" wrapText="1"/>
    </xf>
    <xf numFmtId="44" fontId="3" fillId="0" borderId="29" xfId="2" applyFont="1" applyBorder="1" applyAlignment="1">
      <alignment horizontal="center" vertical="center"/>
    </xf>
    <xf numFmtId="44" fontId="3" fillId="0" borderId="23" xfId="2" applyFont="1" applyBorder="1" applyAlignment="1">
      <alignment horizontal="center" vertical="center"/>
    </xf>
    <xf numFmtId="0" fontId="4" fillId="0" borderId="5" xfId="0" applyFont="1" applyBorder="1" applyAlignment="1">
      <alignment vertical="center" wrapText="1"/>
    </xf>
    <xf numFmtId="44" fontId="4" fillId="0" borderId="46" xfId="2" applyFont="1" applyBorder="1" applyAlignment="1">
      <alignment horizontal="center" vertical="center"/>
    </xf>
    <xf numFmtId="44" fontId="4" fillId="0" borderId="6" xfId="2" applyFont="1" applyBorder="1" applyAlignment="1">
      <alignment horizontal="center" vertical="center"/>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3" fillId="0" borderId="0" xfId="0" applyFont="1" applyBorder="1" applyAlignment="1">
      <alignmen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5" xfId="0" applyFont="1" applyBorder="1" applyAlignment="1">
      <alignment horizontal="left" vertical="top" wrapText="1"/>
    </xf>
    <xf numFmtId="0" fontId="4" fillId="0" borderId="31" xfId="0" applyFont="1" applyBorder="1" applyAlignment="1">
      <alignment horizontal="left" vertical="top" wrapText="1"/>
    </xf>
    <xf numFmtId="0" fontId="4" fillId="0" borderId="12" xfId="0" applyFont="1" applyBorder="1" applyAlignment="1">
      <alignment horizontal="left" vertical="top" wrapText="1"/>
    </xf>
  </cellXfs>
  <cellStyles count="7">
    <cellStyle name="Comma" xfId="1" builtinId="3"/>
    <cellStyle name="Comma 2" xfId="4"/>
    <cellStyle name="Currency" xfId="2" builtinId="4"/>
    <cellStyle name="Currency 2" xfId="5"/>
    <cellStyle name="Normal" xfId="0" builtinId="0"/>
    <cellStyle name="Percent" xfId="3"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showGridLines="0" tabSelected="1" workbookViewId="0"/>
  </sheetViews>
  <sheetFormatPr defaultRowHeight="16.5" x14ac:dyDescent="0.3"/>
  <cols>
    <col min="1" max="1" width="9" style="109"/>
    <col min="2" max="2" width="24.25" style="109" customWidth="1"/>
    <col min="3" max="4" width="16.75" style="109" customWidth="1"/>
    <col min="5" max="16384" width="9" style="109"/>
  </cols>
  <sheetData>
    <row r="2" spans="2:5" ht="17.25" thickBot="1" x14ac:dyDescent="0.35">
      <c r="B2" s="3" t="s">
        <v>155</v>
      </c>
      <c r="C2" s="3"/>
      <c r="D2" s="1"/>
    </row>
    <row r="3" spans="2:5" ht="17.25" thickBot="1" x14ac:dyDescent="0.35">
      <c r="B3" s="315" t="s">
        <v>53</v>
      </c>
      <c r="C3" s="79" t="s">
        <v>113</v>
      </c>
      <c r="D3" s="80" t="s">
        <v>114</v>
      </c>
    </row>
    <row r="4" spans="2:5" x14ac:dyDescent="0.3">
      <c r="B4" s="316" t="s">
        <v>156</v>
      </c>
      <c r="C4" s="317">
        <f>SUM('Detail YR 1 - Based on 340'!H32:H45)</f>
        <v>337300.59625295765</v>
      </c>
      <c r="D4" s="318">
        <f>SUM('Detail YR 2 - Based on 340'!H32:H45)</f>
        <v>341457.96318495757</v>
      </c>
    </row>
    <row r="5" spans="2:5" x14ac:dyDescent="0.3">
      <c r="B5" s="319" t="s">
        <v>157</v>
      </c>
      <c r="C5" s="320">
        <f>'Detail YR 1 - Based on 340'!H46</f>
        <v>28670.550681501401</v>
      </c>
      <c r="D5" s="321">
        <f>'Detail YR 2 - Based on 340'!H46</f>
        <v>29023.926870721396</v>
      </c>
    </row>
    <row r="6" spans="2:5" ht="17.25" thickBot="1" x14ac:dyDescent="0.35">
      <c r="B6" s="322" t="s">
        <v>0</v>
      </c>
      <c r="C6" s="323">
        <f>SUM(C4:C5)</f>
        <v>365971.14693445904</v>
      </c>
      <c r="D6" s="324">
        <f>SUM(D4:D5)</f>
        <v>370481.89005567896</v>
      </c>
    </row>
    <row r="7" spans="2:5" ht="17.25" thickBot="1" x14ac:dyDescent="0.35"/>
    <row r="8" spans="2:5" ht="15.6" customHeight="1" x14ac:dyDescent="0.3">
      <c r="B8" s="42" t="s">
        <v>191</v>
      </c>
      <c r="C8" s="325"/>
      <c r="D8" s="326"/>
      <c r="E8" s="327"/>
    </row>
    <row r="9" spans="2:5" x14ac:dyDescent="0.3">
      <c r="B9" s="328"/>
      <c r="C9" s="329"/>
      <c r="D9" s="330"/>
      <c r="E9" s="327"/>
    </row>
    <row r="10" spans="2:5" x14ac:dyDescent="0.3">
      <c r="B10" s="328"/>
      <c r="C10" s="329"/>
      <c r="D10" s="330"/>
      <c r="E10" s="327"/>
    </row>
    <row r="11" spans="2:5" x14ac:dyDescent="0.3">
      <c r="B11" s="328"/>
      <c r="C11" s="329"/>
      <c r="D11" s="330"/>
    </row>
    <row r="12" spans="2:5" x14ac:dyDescent="0.3">
      <c r="B12" s="328"/>
      <c r="C12" s="329"/>
      <c r="D12" s="330"/>
    </row>
    <row r="13" spans="2:5" x14ac:dyDescent="0.3">
      <c r="B13" s="328"/>
      <c r="C13" s="329"/>
      <c r="D13" s="330"/>
    </row>
    <row r="14" spans="2:5" x14ac:dyDescent="0.3">
      <c r="B14" s="328"/>
      <c r="C14" s="329"/>
      <c r="D14" s="330"/>
    </row>
    <row r="15" spans="2:5" ht="17.25" thickBot="1" x14ac:dyDescent="0.35">
      <c r="B15" s="331"/>
      <c r="C15" s="332"/>
      <c r="D15" s="333"/>
    </row>
  </sheetData>
  <mergeCells count="1">
    <mergeCell ref="B8: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1"/>
  <sheetViews>
    <sheetView showGridLines="0" tabSelected="1" topLeftCell="A4" workbookViewId="0"/>
  </sheetViews>
  <sheetFormatPr defaultColWidth="9" defaultRowHeight="16.5" x14ac:dyDescent="0.3"/>
  <cols>
    <col min="1" max="1" width="1.75" style="109" customWidth="1"/>
    <col min="2" max="2" width="23" style="109" customWidth="1"/>
    <col min="3" max="3" width="12.125" style="280" bestFit="1" customWidth="1"/>
    <col min="4" max="4" width="1.75" style="109" customWidth="1"/>
    <col min="5" max="5" width="21.375" style="109" bestFit="1" customWidth="1"/>
    <col min="6" max="9" width="14.75" style="126" customWidth="1"/>
    <col min="10" max="10" width="4.75" style="127" bestFit="1" customWidth="1"/>
    <col min="11" max="11" width="22.25" style="109" customWidth="1"/>
    <col min="12" max="12" width="15.125" style="126" customWidth="1"/>
    <col min="13" max="13" width="15.25" style="126" customWidth="1"/>
    <col min="14" max="14" width="25.75" style="126" customWidth="1"/>
    <col min="15" max="15" width="12.625" style="126" bestFit="1" customWidth="1"/>
    <col min="16" max="16" width="1.5" style="109" customWidth="1"/>
    <col min="17" max="17" width="13.125" style="109" customWidth="1"/>
    <col min="18" max="18" width="11.125" style="109" bestFit="1" customWidth="1"/>
    <col min="19" max="19" width="9" style="109"/>
    <col min="20" max="20" width="13.625" style="109" bestFit="1" customWidth="1"/>
    <col min="21" max="21" width="10.25" style="109" bestFit="1" customWidth="1"/>
    <col min="22" max="16384" width="9" style="109"/>
  </cols>
  <sheetData>
    <row r="1" spans="2:19" x14ac:dyDescent="0.3">
      <c r="B1" s="124" t="s">
        <v>169</v>
      </c>
      <c r="C1" s="124"/>
      <c r="D1" s="124"/>
      <c r="E1" s="124"/>
      <c r="F1" s="124"/>
      <c r="G1" s="125"/>
    </row>
    <row r="2" spans="2:19" ht="17.25" thickBot="1" x14ac:dyDescent="0.35">
      <c r="B2" s="128"/>
      <c r="C2" s="129"/>
      <c r="D2" s="129"/>
      <c r="E2" s="129"/>
      <c r="F2" s="129"/>
      <c r="G2" s="130"/>
    </row>
    <row r="3" spans="2:19" ht="17.25" thickBot="1" x14ac:dyDescent="0.35">
      <c r="B3" s="131"/>
      <c r="C3" s="132"/>
      <c r="D3" s="130"/>
      <c r="E3" s="133" t="s">
        <v>69</v>
      </c>
      <c r="F3" s="134"/>
      <c r="G3" s="134"/>
      <c r="H3" s="135"/>
    </row>
    <row r="4" spans="2:19" ht="17.25" thickBot="1" x14ac:dyDescent="0.35">
      <c r="C4" s="136"/>
    </row>
    <row r="5" spans="2:19" ht="24" customHeight="1" thickBot="1" x14ac:dyDescent="0.35">
      <c r="B5" s="137" t="s">
        <v>50</v>
      </c>
      <c r="C5" s="138"/>
      <c r="D5" s="139"/>
      <c r="E5" s="140"/>
      <c r="F5" s="141" t="s">
        <v>131</v>
      </c>
      <c r="G5" s="141" t="s">
        <v>93</v>
      </c>
      <c r="H5" s="142" t="s">
        <v>90</v>
      </c>
      <c r="I5" s="143"/>
      <c r="J5" s="143"/>
      <c r="K5" s="144" t="s">
        <v>145</v>
      </c>
      <c r="L5" s="145"/>
      <c r="M5" s="146"/>
      <c r="N5" s="147" t="s">
        <v>49</v>
      </c>
      <c r="O5" s="148"/>
      <c r="P5" s="149"/>
    </row>
    <row r="6" spans="2:19" ht="20.100000000000001" customHeight="1" x14ac:dyDescent="0.3">
      <c r="B6" s="150" t="s">
        <v>86</v>
      </c>
      <c r="C6" s="151">
        <f>'One Year Fee Schedule'!C3</f>
        <v>240</v>
      </c>
      <c r="D6" s="152"/>
      <c r="E6" s="153" t="s">
        <v>18</v>
      </c>
      <c r="F6" s="154">
        <f>Wages!E4</f>
        <v>10</v>
      </c>
      <c r="G6" s="154">
        <f>Wages!E5</f>
        <v>12.5</v>
      </c>
      <c r="H6" s="155">
        <f>Wages!E6/2080</f>
        <v>20.432692307692307</v>
      </c>
      <c r="I6" s="156"/>
      <c r="J6" s="156"/>
      <c r="K6" s="157" t="s">
        <v>21</v>
      </c>
      <c r="L6" s="158">
        <v>3436</v>
      </c>
      <c r="M6" s="159"/>
      <c r="N6" s="160" t="s">
        <v>7</v>
      </c>
      <c r="O6" s="161">
        <f>+C11*O14*(478*0.7)*12</f>
        <v>22183.98</v>
      </c>
      <c r="P6" s="126"/>
      <c r="Q6" s="162"/>
      <c r="R6" s="163"/>
      <c r="S6" s="162"/>
    </row>
    <row r="7" spans="2:19" ht="20.100000000000001" customHeight="1" x14ac:dyDescent="0.3">
      <c r="B7" s="164" t="s">
        <v>144</v>
      </c>
      <c r="C7" s="165">
        <f>'One Year Fee Schedule'!D3</f>
        <v>60</v>
      </c>
      <c r="D7" s="152"/>
      <c r="E7" s="164" t="s">
        <v>1</v>
      </c>
      <c r="F7" s="166">
        <f>+F6*$C$14</f>
        <v>0.76500000000000001</v>
      </c>
      <c r="G7" s="166">
        <f>+G6*$C$14</f>
        <v>0.95624999999999993</v>
      </c>
      <c r="H7" s="167">
        <f>+H6*$C$14</f>
        <v>1.5631009615384615</v>
      </c>
      <c r="I7" s="168"/>
      <c r="J7" s="168"/>
      <c r="K7" s="164" t="s">
        <v>23</v>
      </c>
      <c r="L7" s="167">
        <f>C11*1032</f>
        <v>8772</v>
      </c>
      <c r="M7" s="159"/>
      <c r="N7" s="169" t="s">
        <v>8</v>
      </c>
      <c r="O7" s="167">
        <f>+C11*O14*(21*0.7)*12</f>
        <v>974.61</v>
      </c>
      <c r="P7" s="126"/>
      <c r="Q7" s="162"/>
      <c r="R7" s="162"/>
      <c r="S7" s="162"/>
    </row>
    <row r="8" spans="2:19" ht="20.100000000000001" customHeight="1" x14ac:dyDescent="0.3">
      <c r="B8" s="164" t="s">
        <v>54</v>
      </c>
      <c r="C8" s="165">
        <f>'One Year Fee Schedule'!E3</f>
        <v>40</v>
      </c>
      <c r="D8" s="152"/>
      <c r="E8" s="164" t="s">
        <v>2</v>
      </c>
      <c r="F8" s="166">
        <f>F6*$C$15</f>
        <v>0.56000000000000005</v>
      </c>
      <c r="G8" s="166">
        <f>G6*$C$15</f>
        <v>0.70000000000000007</v>
      </c>
      <c r="H8" s="167">
        <f>H6*$C$15</f>
        <v>1.1442307692307692</v>
      </c>
      <c r="I8" s="168"/>
      <c r="J8" s="168"/>
      <c r="K8" s="164" t="s">
        <v>67</v>
      </c>
      <c r="L8" s="167">
        <f>O52</f>
        <v>13162.401602957569</v>
      </c>
      <c r="M8" s="159"/>
      <c r="N8" s="170" t="s">
        <v>17</v>
      </c>
      <c r="O8" s="171">
        <v>0</v>
      </c>
      <c r="P8" s="126"/>
      <c r="Q8" s="162"/>
      <c r="R8" s="162"/>
      <c r="S8" s="162"/>
    </row>
    <row r="9" spans="2:19" ht="20.100000000000001" customHeight="1" x14ac:dyDescent="0.3">
      <c r="B9" s="172" t="s">
        <v>25</v>
      </c>
      <c r="C9" s="173">
        <f>SUM(C6:C8)</f>
        <v>340</v>
      </c>
      <c r="D9" s="152"/>
      <c r="E9" s="164" t="s">
        <v>62</v>
      </c>
      <c r="F9" s="166">
        <f>+F6*$C$17</f>
        <v>0.85699999999999998</v>
      </c>
      <c r="G9" s="166">
        <f>+G6*$C$17</f>
        <v>1.07125</v>
      </c>
      <c r="H9" s="167">
        <f>+H6*$C$17</f>
        <v>1.7510817307692306</v>
      </c>
      <c r="I9" s="168"/>
      <c r="J9" s="168"/>
      <c r="K9" s="164" t="s">
        <v>65</v>
      </c>
      <c r="L9" s="174"/>
      <c r="M9" s="159"/>
      <c r="N9" s="169" t="s">
        <v>12</v>
      </c>
      <c r="O9" s="167">
        <f>+C11*O14*4*12</f>
        <v>265.20000000000005</v>
      </c>
      <c r="P9" s="126"/>
      <c r="Q9" s="162"/>
      <c r="R9" s="162"/>
      <c r="S9" s="162"/>
    </row>
    <row r="10" spans="2:19" ht="20.100000000000001" customHeight="1" x14ac:dyDescent="0.3">
      <c r="B10" s="172" t="s">
        <v>26</v>
      </c>
      <c r="C10" s="173">
        <f>C9*52</f>
        <v>17680</v>
      </c>
      <c r="D10" s="152"/>
      <c r="E10" s="164" t="s">
        <v>63</v>
      </c>
      <c r="F10" s="166">
        <f>F6*C18</f>
        <v>0.06</v>
      </c>
      <c r="G10" s="166">
        <f>G6*C18</f>
        <v>7.4999999999999997E-2</v>
      </c>
      <c r="H10" s="167">
        <f>H6*$C$18</f>
        <v>0.12259615384615384</v>
      </c>
      <c r="I10" s="168"/>
      <c r="J10" s="168"/>
      <c r="K10" s="164" t="s">
        <v>40</v>
      </c>
      <c r="L10" s="167">
        <v>0</v>
      </c>
      <c r="M10" s="159"/>
      <c r="N10" s="175" t="s">
        <v>13</v>
      </c>
      <c r="O10" s="167">
        <f>(+C11*(F6*(1+C19))*8)</f>
        <v>849.79600000000005</v>
      </c>
      <c r="P10" s="126"/>
      <c r="Q10" s="162"/>
      <c r="R10" s="163"/>
      <c r="S10" s="162"/>
    </row>
    <row r="11" spans="2:19" ht="20.100000000000001" customHeight="1" thickBot="1" x14ac:dyDescent="0.35">
      <c r="B11" s="176" t="s">
        <v>84</v>
      </c>
      <c r="C11" s="177">
        <f>+C9/40</f>
        <v>8.5</v>
      </c>
      <c r="D11" s="152"/>
      <c r="E11" s="178" t="s">
        <v>72</v>
      </c>
      <c r="F11" s="179">
        <f>SUM(F6:F10)</f>
        <v>12.242000000000001</v>
      </c>
      <c r="G11" s="179">
        <f>SUM(G6:G10)</f>
        <v>15.302499999999998</v>
      </c>
      <c r="H11" s="180">
        <f>SUM(H6:H10)</f>
        <v>25.013701923076919</v>
      </c>
      <c r="I11" s="168"/>
      <c r="J11" s="168"/>
      <c r="K11" s="164" t="s">
        <v>6</v>
      </c>
      <c r="L11" s="167">
        <v>300</v>
      </c>
      <c r="M11" s="159"/>
      <c r="N11" s="169" t="s">
        <v>14</v>
      </c>
      <c r="O11" s="167">
        <f>(+C11*(F6*(1+C19))*40)</f>
        <v>4248.9800000000005</v>
      </c>
      <c r="P11" s="126"/>
      <c r="Q11" s="162"/>
      <c r="R11" s="162"/>
      <c r="S11" s="162"/>
    </row>
    <row r="12" spans="2:19" ht="20.100000000000001" customHeight="1" thickBot="1" x14ac:dyDescent="0.35">
      <c r="B12" s="181"/>
      <c r="C12" s="182"/>
      <c r="D12" s="152"/>
      <c r="E12" s="183" t="s">
        <v>50</v>
      </c>
      <c r="F12" s="184">
        <f>C6</f>
        <v>240</v>
      </c>
      <c r="G12" s="184">
        <f>C7</f>
        <v>60</v>
      </c>
      <c r="H12" s="185">
        <f>C8</f>
        <v>40</v>
      </c>
      <c r="I12" s="168"/>
      <c r="J12" s="168"/>
      <c r="K12" s="186" t="s">
        <v>11</v>
      </c>
      <c r="L12" s="167">
        <f>+C11*82.4*1.5</f>
        <v>1050.6000000000001</v>
      </c>
      <c r="M12" s="159"/>
      <c r="N12" s="169" t="s">
        <v>0</v>
      </c>
      <c r="O12" s="167">
        <f>SUM(O6:O11)</f>
        <v>28522.565999999999</v>
      </c>
      <c r="P12" s="126"/>
      <c r="Q12" s="162"/>
      <c r="R12" s="162"/>
      <c r="S12" s="162"/>
    </row>
    <row r="13" spans="2:19" ht="20.100000000000001" customHeight="1" thickBot="1" x14ac:dyDescent="0.35">
      <c r="B13" s="137" t="s">
        <v>27</v>
      </c>
      <c r="C13" s="138"/>
      <c r="D13" s="152"/>
      <c r="E13" s="187" t="s">
        <v>74</v>
      </c>
      <c r="F13" s="188">
        <v>52</v>
      </c>
      <c r="G13" s="188">
        <v>52</v>
      </c>
      <c r="H13" s="189">
        <v>52</v>
      </c>
      <c r="I13" s="168"/>
      <c r="J13" s="168"/>
      <c r="K13" s="164" t="s">
        <v>9</v>
      </c>
      <c r="L13" s="167">
        <v>0</v>
      </c>
      <c r="M13" s="159"/>
      <c r="N13" s="190" t="s">
        <v>15</v>
      </c>
      <c r="O13" s="191">
        <f>O12/C10</f>
        <v>1.6132673076923076</v>
      </c>
      <c r="P13" s="126"/>
      <c r="Q13" s="162"/>
      <c r="R13" s="162"/>
      <c r="S13" s="162"/>
    </row>
    <row r="14" spans="2:19" ht="20.100000000000001" customHeight="1" thickBot="1" x14ac:dyDescent="0.35">
      <c r="B14" s="192" t="s">
        <v>1</v>
      </c>
      <c r="C14" s="193">
        <v>7.6499999999999999E-2</v>
      </c>
      <c r="D14" s="152"/>
      <c r="E14" s="187" t="s">
        <v>73</v>
      </c>
      <c r="F14" s="194">
        <f>F11*F12*F13</f>
        <v>152780.16000000003</v>
      </c>
      <c r="G14" s="194">
        <f>G11*G12*G13</f>
        <v>47743.799999999996</v>
      </c>
      <c r="H14" s="195">
        <f t="shared" ref="H14" si="0">H11*H12*H13</f>
        <v>52028.499999999993</v>
      </c>
      <c r="I14" s="168"/>
      <c r="J14" s="168"/>
      <c r="K14" s="164" t="s">
        <v>33</v>
      </c>
      <c r="L14" s="167">
        <v>1800</v>
      </c>
      <c r="M14" s="159"/>
      <c r="N14" s="196" t="s">
        <v>47</v>
      </c>
      <c r="O14" s="197">
        <v>0.65</v>
      </c>
      <c r="P14" s="126"/>
      <c r="Q14" s="162"/>
      <c r="R14" s="162"/>
      <c r="S14" s="162"/>
    </row>
    <row r="15" spans="2:19" ht="20.100000000000001" customHeight="1" x14ac:dyDescent="0.3">
      <c r="B15" s="169" t="s">
        <v>2</v>
      </c>
      <c r="C15" s="198">
        <v>5.6000000000000001E-2</v>
      </c>
      <c r="D15" s="152"/>
      <c r="E15" s="164" t="s">
        <v>3</v>
      </c>
      <c r="F15" s="166">
        <f>F6*$C$16</f>
        <v>0.255</v>
      </c>
      <c r="G15" s="166">
        <f t="shared" ref="G15:H15" si="1">G6*$C$16</f>
        <v>0.31874999999999998</v>
      </c>
      <c r="H15" s="166">
        <f t="shared" si="1"/>
        <v>0.52103365384615374</v>
      </c>
      <c r="I15" s="168"/>
      <c r="J15" s="168"/>
      <c r="K15" s="186" t="s">
        <v>5</v>
      </c>
      <c r="L15" s="167">
        <f>'Other Costs'!F15</f>
        <v>8259.0938500000011</v>
      </c>
      <c r="M15" s="159"/>
      <c r="N15" s="199"/>
      <c r="O15" s="200"/>
      <c r="P15" s="127"/>
      <c r="Q15" s="162"/>
      <c r="R15" s="162"/>
      <c r="S15" s="162"/>
    </row>
    <row r="16" spans="2:19" ht="20.100000000000001" customHeight="1" x14ac:dyDescent="0.3">
      <c r="B16" s="169" t="s">
        <v>3</v>
      </c>
      <c r="C16" s="198">
        <v>2.5499999999999998E-2</v>
      </c>
      <c r="D16" s="152"/>
      <c r="E16" s="164" t="s">
        <v>15</v>
      </c>
      <c r="F16" s="166">
        <f>O13</f>
        <v>1.6132673076923076</v>
      </c>
      <c r="G16" s="166">
        <f>F16</f>
        <v>1.6132673076923076</v>
      </c>
      <c r="H16" s="167">
        <f>F16</f>
        <v>1.6132673076923076</v>
      </c>
      <c r="I16" s="168"/>
      <c r="J16" s="168"/>
      <c r="K16" s="164" t="s">
        <v>34</v>
      </c>
      <c r="L16" s="167">
        <f>+C10*0.01*(F6*(1+C19)/2)</f>
        <v>1104.7348</v>
      </c>
      <c r="M16" s="159"/>
      <c r="N16" s="199"/>
      <c r="O16" s="200"/>
      <c r="P16" s="127"/>
      <c r="Q16" s="162"/>
    </row>
    <row r="17" spans="2:20" ht="20.100000000000001" customHeight="1" x14ac:dyDescent="0.3">
      <c r="B17" s="201" t="s">
        <v>62</v>
      </c>
      <c r="C17" s="202">
        <v>8.5699999999999998E-2</v>
      </c>
      <c r="D17" s="152"/>
      <c r="E17" s="164" t="s">
        <v>4</v>
      </c>
      <c r="F17" s="166">
        <f>L39</f>
        <v>2.8826312360270117</v>
      </c>
      <c r="G17" s="166">
        <f>F17</f>
        <v>2.8826312360270117</v>
      </c>
      <c r="H17" s="167">
        <f>F17</f>
        <v>2.8826312360270117</v>
      </c>
      <c r="I17" s="168"/>
      <c r="J17" s="168"/>
      <c r="K17" s="164" t="s">
        <v>19</v>
      </c>
      <c r="L17" s="167">
        <v>1200</v>
      </c>
      <c r="M17" s="159"/>
      <c r="N17" s="199"/>
      <c r="O17" s="200"/>
      <c r="P17" s="127"/>
      <c r="Q17" s="162"/>
    </row>
    <row r="18" spans="2:20" ht="20.100000000000001" customHeight="1" thickBot="1" x14ac:dyDescent="0.35">
      <c r="B18" s="203" t="s">
        <v>63</v>
      </c>
      <c r="C18" s="202">
        <v>6.0000000000000001E-3</v>
      </c>
      <c r="D18" s="152"/>
      <c r="E18" s="164" t="s">
        <v>91</v>
      </c>
      <c r="F18" s="204">
        <f>H46/C10</f>
        <v>1.6216374819853734</v>
      </c>
      <c r="G18" s="204">
        <f>F18</f>
        <v>1.6216374819853734</v>
      </c>
      <c r="H18" s="167">
        <f>F18</f>
        <v>1.6216374819853734</v>
      </c>
      <c r="I18" s="168"/>
      <c r="J18" s="168"/>
      <c r="K18" s="164" t="s">
        <v>35</v>
      </c>
      <c r="L18" s="167">
        <v>0</v>
      </c>
      <c r="M18" s="159"/>
      <c r="N18" s="181"/>
      <c r="O18" s="205"/>
      <c r="P18" s="126"/>
    </row>
    <row r="19" spans="2:20" ht="20.100000000000001" customHeight="1" thickBot="1" x14ac:dyDescent="0.35">
      <c r="B19" s="206" t="s">
        <v>0</v>
      </c>
      <c r="C19" s="197">
        <f>SUM(C14:C18)</f>
        <v>0.24970000000000001</v>
      </c>
      <c r="D19" s="152"/>
      <c r="E19" s="175"/>
      <c r="F19" s="168"/>
      <c r="G19" s="168"/>
      <c r="H19" s="207"/>
      <c r="I19" s="168"/>
      <c r="J19" s="168"/>
      <c r="K19" s="164" t="s">
        <v>44</v>
      </c>
      <c r="L19" s="167">
        <f>80*12</f>
        <v>960</v>
      </c>
      <c r="M19" s="159"/>
      <c r="N19" s="208"/>
      <c r="O19" s="208"/>
      <c r="P19" s="208"/>
      <c r="Q19" s="152"/>
      <c r="R19" s="152"/>
    </row>
    <row r="20" spans="2:20" ht="20.100000000000001" customHeight="1" x14ac:dyDescent="0.3">
      <c r="B20" s="209"/>
      <c r="C20" s="210"/>
      <c r="D20" s="152"/>
      <c r="E20" s="211" t="s">
        <v>16</v>
      </c>
      <c r="F20" s="212">
        <f>F11+F15+F16+F17+F18</f>
        <v>18.614536025704695</v>
      </c>
      <c r="G20" s="212">
        <f>G11+G15+G16+G17+G18</f>
        <v>21.738786025704695</v>
      </c>
      <c r="H20" s="213">
        <f>H11+H15+H16+H17+H18</f>
        <v>31.652271602627767</v>
      </c>
      <c r="I20" s="168"/>
      <c r="J20" s="168"/>
      <c r="K20" s="164" t="s">
        <v>29</v>
      </c>
      <c r="L20" s="167">
        <v>0</v>
      </c>
      <c r="M20" s="159"/>
      <c r="N20" s="214"/>
      <c r="O20" s="214"/>
      <c r="P20" s="215"/>
      <c r="Q20" s="152"/>
      <c r="R20" s="152"/>
    </row>
    <row r="21" spans="2:20" ht="20.100000000000001" customHeight="1" x14ac:dyDescent="0.3">
      <c r="B21" s="216"/>
      <c r="C21" s="210"/>
      <c r="D21" s="152"/>
      <c r="E21" s="164" t="s">
        <v>50</v>
      </c>
      <c r="F21" s="217">
        <f>C6</f>
        <v>240</v>
      </c>
      <c r="G21" s="217">
        <f>C7</f>
        <v>60</v>
      </c>
      <c r="H21" s="218">
        <f>C8</f>
        <v>40</v>
      </c>
      <c r="I21" s="156"/>
      <c r="J21" s="156"/>
      <c r="K21" s="164" t="s">
        <v>36</v>
      </c>
      <c r="L21" s="167">
        <v>0</v>
      </c>
      <c r="M21" s="159"/>
      <c r="N21" s="214"/>
      <c r="O21" s="219"/>
      <c r="P21" s="214"/>
      <c r="Q21" s="220"/>
      <c r="R21" s="152"/>
    </row>
    <row r="22" spans="2:20" ht="20.100000000000001" customHeight="1" x14ac:dyDescent="0.3">
      <c r="B22" s="221" t="s">
        <v>24</v>
      </c>
      <c r="C22" s="221"/>
      <c r="D22" s="152"/>
      <c r="E22" s="164" t="s">
        <v>51</v>
      </c>
      <c r="F22" s="222">
        <f>F21*52</f>
        <v>12480</v>
      </c>
      <c r="G22" s="222">
        <f>G21*52</f>
        <v>3120</v>
      </c>
      <c r="H22" s="223">
        <f>H21*52</f>
        <v>2080</v>
      </c>
      <c r="I22" s="224"/>
      <c r="J22" s="224"/>
      <c r="K22" s="164" t="s">
        <v>30</v>
      </c>
      <c r="L22" s="167">
        <v>0</v>
      </c>
      <c r="M22" s="159"/>
      <c r="N22" s="214"/>
      <c r="O22" s="219"/>
      <c r="P22" s="214"/>
      <c r="Q22" s="220"/>
      <c r="R22" s="152"/>
    </row>
    <row r="23" spans="2:20" ht="20.100000000000001" customHeight="1" x14ac:dyDescent="0.3">
      <c r="B23" s="225"/>
      <c r="C23" s="226"/>
      <c r="D23" s="221"/>
      <c r="E23" s="153" t="s">
        <v>10</v>
      </c>
      <c r="F23" s="154">
        <f>+F20*C6*52</f>
        <v>232309.40960079458</v>
      </c>
      <c r="G23" s="154">
        <f>G20*G22</f>
        <v>67825.012400198641</v>
      </c>
      <c r="H23" s="155">
        <f>+H20*C8*52</f>
        <v>65836.724933465754</v>
      </c>
      <c r="I23" s="227"/>
      <c r="J23" s="227"/>
      <c r="K23" s="164" t="s">
        <v>28</v>
      </c>
      <c r="L23" s="167">
        <v>0</v>
      </c>
      <c r="M23" s="228"/>
      <c r="N23" s="214"/>
      <c r="O23" s="219"/>
      <c r="P23" s="214"/>
      <c r="Q23" s="220"/>
      <c r="R23" s="152"/>
    </row>
    <row r="24" spans="2:20" ht="20.100000000000001" customHeight="1" thickBot="1" x14ac:dyDescent="0.35">
      <c r="B24" s="209"/>
      <c r="C24" s="226"/>
      <c r="D24" s="152"/>
      <c r="E24" s="229" t="s">
        <v>48</v>
      </c>
      <c r="F24" s="230"/>
      <c r="G24" s="230"/>
      <c r="H24" s="231">
        <f>SUM(F23:H23)</f>
        <v>365971.14693445899</v>
      </c>
      <c r="I24" s="156"/>
      <c r="J24" s="156"/>
      <c r="K24" s="164" t="s">
        <v>31</v>
      </c>
      <c r="L24" s="167">
        <f>250+(50*11)</f>
        <v>800</v>
      </c>
      <c r="M24" s="159"/>
      <c r="N24" s="214"/>
      <c r="O24" s="219"/>
      <c r="P24" s="214"/>
      <c r="Q24" s="220"/>
      <c r="R24" s="152"/>
      <c r="T24" s="232"/>
    </row>
    <row r="25" spans="2:20" ht="20.100000000000001" customHeight="1" thickBot="1" x14ac:dyDescent="0.35">
      <c r="B25" s="225"/>
      <c r="C25" s="226"/>
      <c r="D25" s="152"/>
      <c r="E25" s="233"/>
      <c r="F25" s="233"/>
      <c r="G25" s="233"/>
      <c r="H25" s="234"/>
      <c r="I25" s="235"/>
      <c r="J25" s="235"/>
      <c r="K25" s="164" t="s">
        <v>37</v>
      </c>
      <c r="L25" s="167">
        <f>+(200+200)+(74.25*2*12)</f>
        <v>2182</v>
      </c>
      <c r="M25" s="159"/>
      <c r="N25" s="236"/>
      <c r="O25" s="236"/>
      <c r="P25" s="237"/>
      <c r="Q25" s="220"/>
      <c r="R25" s="152"/>
      <c r="S25" s="220"/>
    </row>
    <row r="26" spans="2:20" ht="20.100000000000001" customHeight="1" thickBot="1" x14ac:dyDescent="0.35">
      <c r="B26" s="225"/>
      <c r="C26" s="226"/>
      <c r="D26" s="152"/>
      <c r="E26" s="238" t="s">
        <v>52</v>
      </c>
      <c r="F26" s="239"/>
      <c r="G26" s="239"/>
      <c r="H26" s="240">
        <f>H24/C11</f>
        <v>43055.42905111282</v>
      </c>
      <c r="I26" s="241"/>
      <c r="J26" s="235"/>
      <c r="K26" s="164" t="s">
        <v>152</v>
      </c>
      <c r="L26" s="167">
        <f>100*12</f>
        <v>1200</v>
      </c>
      <c r="M26" s="242"/>
      <c r="N26" s="214"/>
      <c r="O26" s="214"/>
      <c r="P26" s="243"/>
      <c r="Q26" s="220"/>
      <c r="R26" s="220"/>
    </row>
    <row r="27" spans="2:20" ht="20.100000000000001" customHeight="1" x14ac:dyDescent="0.3">
      <c r="B27" s="225"/>
      <c r="C27" s="226"/>
      <c r="D27" s="152"/>
      <c r="E27" s="244"/>
      <c r="F27" s="244"/>
      <c r="G27" s="244"/>
      <c r="H27" s="245"/>
      <c r="I27" s="246"/>
      <c r="J27" s="241"/>
      <c r="K27" s="164" t="s">
        <v>75</v>
      </c>
      <c r="L27" s="167">
        <v>0</v>
      </c>
      <c r="M27" s="242"/>
      <c r="N27" s="214"/>
      <c r="O27" s="214"/>
      <c r="P27" s="214"/>
      <c r="Q27" s="220"/>
      <c r="R27" s="152"/>
    </row>
    <row r="28" spans="2:20" ht="20.100000000000001" customHeight="1" thickBot="1" x14ac:dyDescent="0.35">
      <c r="B28" s="225"/>
      <c r="C28" s="226"/>
      <c r="D28" s="152"/>
      <c r="E28" s="152"/>
      <c r="F28" s="159"/>
      <c r="G28" s="159"/>
      <c r="H28" s="247"/>
      <c r="I28" s="248"/>
      <c r="J28" s="246"/>
      <c r="K28" s="164" t="s">
        <v>38</v>
      </c>
      <c r="L28" s="167">
        <v>0</v>
      </c>
      <c r="M28" s="159"/>
      <c r="N28" s="208"/>
      <c r="O28" s="208"/>
      <c r="P28" s="208"/>
      <c r="Q28" s="220"/>
      <c r="R28" s="152"/>
    </row>
    <row r="29" spans="2:20" ht="20.100000000000001" customHeight="1" x14ac:dyDescent="0.3">
      <c r="B29" s="225"/>
      <c r="C29" s="226"/>
      <c r="D29" s="152"/>
      <c r="E29" s="249" t="s">
        <v>85</v>
      </c>
      <c r="F29" s="250"/>
      <c r="G29" s="250"/>
      <c r="H29" s="250"/>
      <c r="I29" s="251"/>
      <c r="J29" s="245"/>
      <c r="K29" s="164" t="s">
        <v>20</v>
      </c>
      <c r="L29" s="167">
        <v>0</v>
      </c>
      <c r="M29" s="159"/>
      <c r="N29" s="214"/>
      <c r="O29" s="214"/>
      <c r="P29" s="215"/>
      <c r="Q29" s="152"/>
      <c r="R29" s="152"/>
    </row>
    <row r="30" spans="2:20" ht="20.100000000000001" customHeight="1" thickBot="1" x14ac:dyDescent="0.35">
      <c r="B30" s="225"/>
      <c r="C30" s="226"/>
      <c r="D30" s="152"/>
      <c r="E30" s="252"/>
      <c r="F30" s="253"/>
      <c r="G30" s="253"/>
      <c r="H30" s="253"/>
      <c r="I30" s="254"/>
      <c r="J30" s="255"/>
      <c r="K30" s="164" t="s">
        <v>64</v>
      </c>
      <c r="L30" s="167">
        <v>0</v>
      </c>
      <c r="M30" s="159"/>
      <c r="N30" s="214"/>
      <c r="O30" s="219"/>
      <c r="P30" s="214"/>
      <c r="Q30" s="220"/>
      <c r="R30" s="152"/>
    </row>
    <row r="31" spans="2:20" ht="20.100000000000001" customHeight="1" thickBot="1" x14ac:dyDescent="0.35">
      <c r="B31" s="225"/>
      <c r="C31" s="226"/>
      <c r="D31" s="152"/>
      <c r="E31" s="256" t="s">
        <v>41</v>
      </c>
      <c r="F31" s="257"/>
      <c r="G31" s="257"/>
      <c r="H31" s="258" t="s">
        <v>43</v>
      </c>
      <c r="I31" s="259" t="s">
        <v>61</v>
      </c>
      <c r="J31" s="260"/>
      <c r="K31" s="164" t="s">
        <v>76</v>
      </c>
      <c r="L31" s="167">
        <v>0</v>
      </c>
      <c r="M31" s="159"/>
      <c r="N31" s="214"/>
      <c r="O31" s="219"/>
      <c r="P31" s="214"/>
      <c r="Q31" s="220"/>
      <c r="R31" s="152"/>
    </row>
    <row r="32" spans="2:20" ht="20.100000000000001" customHeight="1" x14ac:dyDescent="0.3">
      <c r="B32" s="225"/>
      <c r="C32" s="226"/>
      <c r="D32" s="152"/>
      <c r="E32" s="261" t="s">
        <v>70</v>
      </c>
      <c r="F32" s="262"/>
      <c r="G32" s="262"/>
      <c r="H32" s="263">
        <f>SUM(F14:H14)</f>
        <v>252552.46000000002</v>
      </c>
      <c r="I32" s="264">
        <f t="shared" ref="I32:I46" si="2">H32/$H$48</f>
        <v>0.69008844581190187</v>
      </c>
      <c r="J32" s="255"/>
      <c r="K32" s="164" t="s">
        <v>32</v>
      </c>
      <c r="L32" s="167">
        <f>N52*0.03</f>
        <v>1050.0899999999999</v>
      </c>
      <c r="M32" s="159"/>
      <c r="N32" s="214"/>
      <c r="O32" s="219"/>
      <c r="P32" s="214"/>
      <c r="Q32" s="220"/>
      <c r="R32" s="152"/>
    </row>
    <row r="33" spans="2:18" x14ac:dyDescent="0.3">
      <c r="B33" s="225"/>
      <c r="C33" s="226"/>
      <c r="D33" s="152"/>
      <c r="E33" s="265" t="s">
        <v>15</v>
      </c>
      <c r="F33" s="266"/>
      <c r="G33" s="266"/>
      <c r="H33" s="267">
        <f>O12</f>
        <v>28522.565999999999</v>
      </c>
      <c r="I33" s="268">
        <f t="shared" si="2"/>
        <v>7.7936652216760799E-2</v>
      </c>
      <c r="J33" s="248"/>
      <c r="K33" s="164" t="s">
        <v>39</v>
      </c>
      <c r="L33" s="167">
        <v>0</v>
      </c>
      <c r="M33" s="159"/>
      <c r="N33" s="214"/>
      <c r="O33" s="219"/>
      <c r="P33" s="214"/>
      <c r="Q33" s="220"/>
      <c r="R33" s="152"/>
    </row>
    <row r="34" spans="2:18" ht="20.100000000000001" customHeight="1" x14ac:dyDescent="0.3">
      <c r="B34" s="225"/>
      <c r="C34" s="226"/>
      <c r="D34" s="152"/>
      <c r="E34" s="265" t="s">
        <v>115</v>
      </c>
      <c r="F34" s="266"/>
      <c r="G34" s="266"/>
      <c r="H34" s="267">
        <f>(F15*C6*52)+(G15*C7*52)+(H15*C8*52)</f>
        <v>5260.65</v>
      </c>
      <c r="I34" s="268">
        <f t="shared" si="2"/>
        <v>1.4374493847576782E-2</v>
      </c>
      <c r="J34" s="269"/>
      <c r="K34" s="164" t="s">
        <v>153</v>
      </c>
      <c r="L34" s="167">
        <v>0</v>
      </c>
      <c r="M34" s="159"/>
      <c r="N34" s="236"/>
      <c r="O34" s="236"/>
      <c r="P34" s="237"/>
      <c r="Q34" s="220"/>
      <c r="R34" s="152"/>
    </row>
    <row r="35" spans="2:18" ht="20.100000000000001" customHeight="1" x14ac:dyDescent="0.3">
      <c r="B35" s="225"/>
      <c r="C35" s="270"/>
      <c r="D35" s="152"/>
      <c r="E35" s="265" t="s">
        <v>188</v>
      </c>
      <c r="F35" s="271"/>
      <c r="G35" s="271"/>
      <c r="H35" s="267">
        <f>L10+L11+L16+L17+L12+L19</f>
        <v>4615.3348000000005</v>
      </c>
      <c r="I35" s="268">
        <f t="shared" si="2"/>
        <v>1.2611198556662585E-2</v>
      </c>
      <c r="J35" s="269"/>
      <c r="K35" s="164" t="s">
        <v>158</v>
      </c>
      <c r="L35" s="167">
        <f>186*8</f>
        <v>1488</v>
      </c>
      <c r="M35" s="159"/>
      <c r="N35" s="208"/>
      <c r="O35" s="208"/>
      <c r="Q35" s="276"/>
    </row>
    <row r="36" spans="2:18" ht="20.100000000000001" customHeight="1" x14ac:dyDescent="0.3">
      <c r="B36" s="225"/>
      <c r="C36" s="270"/>
      <c r="D36" s="152"/>
      <c r="E36" s="265" t="s">
        <v>9</v>
      </c>
      <c r="F36" s="271"/>
      <c r="G36" s="271"/>
      <c r="H36" s="267">
        <f>L14+L13</f>
        <v>1800</v>
      </c>
      <c r="I36" s="268">
        <f t="shared" si="2"/>
        <v>4.9184205232505884E-3</v>
      </c>
      <c r="J36" s="272"/>
      <c r="K36" s="164" t="s">
        <v>46</v>
      </c>
      <c r="L36" s="167">
        <f>100*12</f>
        <v>1200</v>
      </c>
      <c r="M36" s="159"/>
      <c r="N36" s="209"/>
      <c r="O36" s="273"/>
      <c r="Q36" s="276"/>
    </row>
    <row r="37" spans="2:18" ht="20.100000000000001" customHeight="1" x14ac:dyDescent="0.3">
      <c r="B37" s="225"/>
      <c r="C37" s="270"/>
      <c r="D37" s="152"/>
      <c r="E37" s="265" t="s">
        <v>5</v>
      </c>
      <c r="F37" s="271"/>
      <c r="G37" s="271"/>
      <c r="H37" s="267">
        <f>L15</f>
        <v>8259.0938500000011</v>
      </c>
      <c r="I37" s="268">
        <f t="shared" si="2"/>
        <v>2.2567609275162624E-2</v>
      </c>
      <c r="J37" s="274"/>
      <c r="K37" s="164" t="s">
        <v>22</v>
      </c>
      <c r="L37" s="167">
        <v>3000</v>
      </c>
      <c r="M37" s="159"/>
      <c r="N37" s="275"/>
      <c r="O37" s="275"/>
      <c r="Q37" s="276"/>
    </row>
    <row r="38" spans="2:18" ht="20.100000000000001" customHeight="1" x14ac:dyDescent="0.3">
      <c r="B38" s="225"/>
      <c r="C38" s="270"/>
      <c r="D38" s="152"/>
      <c r="E38" s="265" t="s">
        <v>81</v>
      </c>
      <c r="F38" s="271"/>
      <c r="G38" s="271"/>
      <c r="H38" s="267">
        <f>L18</f>
        <v>0</v>
      </c>
      <c r="I38" s="268">
        <f t="shared" si="2"/>
        <v>0</v>
      </c>
      <c r="J38" s="274"/>
      <c r="K38" s="164" t="s">
        <v>0</v>
      </c>
      <c r="L38" s="167">
        <f>SUM(L6:L37)</f>
        <v>50964.920252957563</v>
      </c>
      <c r="M38" s="159"/>
      <c r="N38" s="275"/>
      <c r="O38" s="275"/>
      <c r="Q38" s="276"/>
    </row>
    <row r="39" spans="2:18" ht="20.100000000000001" customHeight="1" thickBot="1" x14ac:dyDescent="0.35">
      <c r="B39" s="225"/>
      <c r="C39" s="226"/>
      <c r="D39" s="277"/>
      <c r="E39" s="265" t="s">
        <v>82</v>
      </c>
      <c r="F39" s="271"/>
      <c r="G39" s="271"/>
      <c r="H39" s="267">
        <v>0</v>
      </c>
      <c r="I39" s="268">
        <f t="shared" si="2"/>
        <v>0</v>
      </c>
      <c r="J39" s="274"/>
      <c r="K39" s="278" t="s">
        <v>4</v>
      </c>
      <c r="L39" s="279">
        <f>L38/C10</f>
        <v>2.8826312360270117</v>
      </c>
      <c r="M39" s="159"/>
      <c r="N39" s="275"/>
      <c r="O39" s="275"/>
      <c r="Q39" s="276"/>
    </row>
    <row r="40" spans="2:18" ht="20.100000000000001" customHeight="1" x14ac:dyDescent="0.3">
      <c r="B40" s="225"/>
      <c r="C40" s="270"/>
      <c r="D40" s="277"/>
      <c r="E40" s="265" t="s">
        <v>77</v>
      </c>
      <c r="F40" s="271"/>
      <c r="G40" s="271"/>
      <c r="H40" s="267">
        <f>L8+L27+L35</f>
        <v>14650.401602957569</v>
      </c>
      <c r="I40" s="268">
        <f t="shared" si="2"/>
        <v>4.0031575509916567E-2</v>
      </c>
      <c r="J40" s="274"/>
      <c r="K40" s="314"/>
      <c r="L40" s="156"/>
      <c r="M40" s="159"/>
      <c r="N40" s="275"/>
      <c r="O40" s="275"/>
      <c r="P40" s="275"/>
      <c r="R40" s="276"/>
    </row>
    <row r="41" spans="2:18" ht="20.100000000000001" customHeight="1" thickBot="1" x14ac:dyDescent="0.35">
      <c r="D41" s="277"/>
      <c r="E41" s="265" t="s">
        <v>189</v>
      </c>
      <c r="F41" s="271"/>
      <c r="G41" s="271"/>
      <c r="H41" s="281">
        <f>L29+L30+L31+L32+L33+L28</f>
        <v>1050.0899999999999</v>
      </c>
      <c r="I41" s="268">
        <f t="shared" si="2"/>
        <v>2.8693245595890057E-3</v>
      </c>
      <c r="J41" s="274"/>
      <c r="K41" s="232"/>
      <c r="L41" s="276"/>
      <c r="M41" s="159"/>
      <c r="N41" s="275"/>
      <c r="O41" s="275"/>
      <c r="P41" s="159"/>
    </row>
    <row r="42" spans="2:18" ht="20.100000000000001" customHeight="1" x14ac:dyDescent="0.3">
      <c r="E42" s="265" t="s">
        <v>37</v>
      </c>
      <c r="F42" s="271"/>
      <c r="G42" s="271"/>
      <c r="H42" s="267">
        <f>L25</f>
        <v>2182</v>
      </c>
      <c r="I42" s="268">
        <f t="shared" si="2"/>
        <v>5.9622186565182131E-3</v>
      </c>
      <c r="J42" s="274"/>
      <c r="K42" s="144" t="s">
        <v>45</v>
      </c>
      <c r="L42" s="282"/>
      <c r="M42" s="282"/>
      <c r="N42" s="282"/>
      <c r="O42" s="145"/>
      <c r="P42" s="159"/>
    </row>
    <row r="43" spans="2:18" ht="20.100000000000001" customHeight="1" thickBot="1" x14ac:dyDescent="0.35">
      <c r="E43" s="265" t="s">
        <v>83</v>
      </c>
      <c r="F43" s="271"/>
      <c r="G43" s="271"/>
      <c r="H43" s="267">
        <f>L26+L24</f>
        <v>2000</v>
      </c>
      <c r="I43" s="268">
        <f t="shared" si="2"/>
        <v>5.4649116925006534E-3</v>
      </c>
      <c r="J43" s="274"/>
      <c r="K43" s="283" t="s">
        <v>98</v>
      </c>
      <c r="L43" s="284" t="s">
        <v>42</v>
      </c>
      <c r="M43" s="284" t="s">
        <v>99</v>
      </c>
      <c r="N43" s="284" t="s">
        <v>163</v>
      </c>
      <c r="O43" s="285" t="s">
        <v>164</v>
      </c>
      <c r="P43" s="159"/>
    </row>
    <row r="44" spans="2:18" ht="20.100000000000001" customHeight="1" x14ac:dyDescent="0.3">
      <c r="E44" s="265" t="s">
        <v>22</v>
      </c>
      <c r="F44" s="271"/>
      <c r="G44" s="271"/>
      <c r="H44" s="267">
        <f>L37</f>
        <v>3000</v>
      </c>
      <c r="I44" s="268">
        <f t="shared" si="2"/>
        <v>8.1973675387509801E-3</v>
      </c>
      <c r="J44" s="274"/>
      <c r="K44" s="286" t="s">
        <v>68</v>
      </c>
      <c r="L44" s="287">
        <v>9</v>
      </c>
      <c r="M44" s="288">
        <v>480</v>
      </c>
      <c r="N44" s="289">
        <f>L44*M44</f>
        <v>4320</v>
      </c>
      <c r="O44" s="167">
        <f>(PMT(0.08/12,12*3,-N44)*12)</f>
        <v>1624.4771855205754</v>
      </c>
      <c r="P44" s="159"/>
    </row>
    <row r="45" spans="2:18" ht="20.100000000000001" customHeight="1" x14ac:dyDescent="0.3">
      <c r="E45" s="265" t="s">
        <v>190</v>
      </c>
      <c r="F45" s="271"/>
      <c r="G45" s="271"/>
      <c r="H45" s="267">
        <f>L6+L7+L36</f>
        <v>13408</v>
      </c>
      <c r="I45" s="268">
        <f t="shared" si="2"/>
        <v>3.6636767986524384E-2</v>
      </c>
      <c r="J45" s="274"/>
      <c r="K45" s="286" t="s">
        <v>166</v>
      </c>
      <c r="L45" s="290">
        <v>1</v>
      </c>
      <c r="M45" s="291">
        <v>6300</v>
      </c>
      <c r="N45" s="292">
        <f>L45*M45</f>
        <v>6300</v>
      </c>
      <c r="O45" s="167">
        <f>(PMT(0.08/12,12*3,-N45)*12)</f>
        <v>2369.029228884172</v>
      </c>
      <c r="P45" s="159"/>
    </row>
    <row r="46" spans="2:18" ht="20.100000000000001" customHeight="1" x14ac:dyDescent="0.3">
      <c r="E46" s="265" t="s">
        <v>154</v>
      </c>
      <c r="F46" s="271"/>
      <c r="G46" s="271"/>
      <c r="H46" s="267">
        <f>SUM(H32:H45)*0.085</f>
        <v>28670.550681501401</v>
      </c>
      <c r="I46" s="268">
        <f t="shared" si="2"/>
        <v>7.83410138248848E-2</v>
      </c>
      <c r="J46" s="274"/>
      <c r="K46" s="286" t="s">
        <v>80</v>
      </c>
      <c r="L46" s="290">
        <v>1</v>
      </c>
      <c r="M46" s="293">
        <v>3400</v>
      </c>
      <c r="N46" s="292">
        <f t="shared" ref="N46:N51" si="3">L46*M46</f>
        <v>3400</v>
      </c>
      <c r="O46" s="167">
        <f>(PMT(0.08/12,12*3,-N46)*12)</f>
        <v>1278.5237108263786</v>
      </c>
      <c r="P46" s="159"/>
    </row>
    <row r="47" spans="2:18" ht="20.100000000000001" customHeight="1" thickBot="1" x14ac:dyDescent="0.35">
      <c r="E47" s="294"/>
      <c r="F47" s="295"/>
      <c r="G47" s="295"/>
      <c r="H47" s="296"/>
      <c r="I47" s="297"/>
      <c r="J47" s="274"/>
      <c r="K47" s="286" t="s">
        <v>165</v>
      </c>
      <c r="L47" s="290">
        <v>5</v>
      </c>
      <c r="M47" s="293">
        <v>313</v>
      </c>
      <c r="N47" s="292">
        <f t="shared" si="3"/>
        <v>1565</v>
      </c>
      <c r="O47" s="167">
        <f t="shared" ref="O47:O51" si="4">(PMT(0.08/12,12*3,-N47)*12)</f>
        <v>588.49694336567131</v>
      </c>
      <c r="P47" s="159"/>
    </row>
    <row r="48" spans="2:18" ht="20.100000000000001" customHeight="1" thickBot="1" x14ac:dyDescent="0.35">
      <c r="C48" s="299"/>
      <c r="E48" s="300" t="s">
        <v>71</v>
      </c>
      <c r="F48" s="301"/>
      <c r="G48" s="301"/>
      <c r="H48" s="302">
        <f>SUM(H32:H47)</f>
        <v>365971.14693445904</v>
      </c>
      <c r="I48" s="303">
        <f>SUM(I32:I47)</f>
        <v>0.99999999999999989</v>
      </c>
      <c r="J48" s="274"/>
      <c r="K48" s="164" t="s">
        <v>149</v>
      </c>
      <c r="L48" s="298">
        <v>3</v>
      </c>
      <c r="M48" s="293">
        <v>736</v>
      </c>
      <c r="N48" s="292">
        <f t="shared" si="3"/>
        <v>2208</v>
      </c>
      <c r="O48" s="167">
        <f t="shared" si="4"/>
        <v>830.28833926607172</v>
      </c>
      <c r="P48" s="159"/>
    </row>
    <row r="49" spans="3:15" ht="20.100000000000001" customHeight="1" x14ac:dyDescent="0.3">
      <c r="C49" s="109"/>
      <c r="H49" s="126">
        <f>H35+H36+H42+H40+H43+H44+H45</f>
        <v>41655.736402957569</v>
      </c>
      <c r="J49" s="274"/>
      <c r="K49" s="164" t="s">
        <v>151</v>
      </c>
      <c r="L49" s="298">
        <v>2</v>
      </c>
      <c r="M49" s="293">
        <v>6640</v>
      </c>
      <c r="N49" s="292">
        <f t="shared" si="3"/>
        <v>13280</v>
      </c>
      <c r="O49" s="167">
        <f>(PMT(0.08/12,12*3,-N49)*12)</f>
        <v>4993.7631999336209</v>
      </c>
    </row>
    <row r="50" spans="3:15" ht="20.100000000000001" customHeight="1" x14ac:dyDescent="0.3">
      <c r="C50" s="109"/>
      <c r="I50" s="304"/>
      <c r="J50" s="274"/>
      <c r="K50" s="164" t="s">
        <v>66</v>
      </c>
      <c r="L50" s="298">
        <v>1</v>
      </c>
      <c r="M50" s="293">
        <v>2230</v>
      </c>
      <c r="N50" s="292">
        <f t="shared" si="3"/>
        <v>2230</v>
      </c>
      <c r="O50" s="167">
        <f>(PMT(0.08/12,12*3,-N50)*12)</f>
        <v>838.56113974788957</v>
      </c>
    </row>
    <row r="51" spans="3:15" ht="20.100000000000001" customHeight="1" thickBot="1" x14ac:dyDescent="0.35">
      <c r="C51" s="109"/>
      <c r="J51" s="168"/>
      <c r="K51" s="203" t="s">
        <v>150</v>
      </c>
      <c r="L51" s="305">
        <v>1</v>
      </c>
      <c r="M51" s="306">
        <v>1700</v>
      </c>
      <c r="N51" s="292">
        <f t="shared" si="3"/>
        <v>1700</v>
      </c>
      <c r="O51" s="167">
        <f t="shared" si="4"/>
        <v>639.26185541318932</v>
      </c>
    </row>
    <row r="52" spans="3:15" ht="20.100000000000001" customHeight="1" thickBot="1" x14ac:dyDescent="0.35">
      <c r="C52" s="109"/>
      <c r="J52" s="312"/>
      <c r="K52" s="307" t="s">
        <v>48</v>
      </c>
      <c r="L52" s="308"/>
      <c r="M52" s="309"/>
      <c r="N52" s="310">
        <f>SUM(N44:N51)</f>
        <v>35003</v>
      </c>
      <c r="O52" s="311">
        <f>SUM(O44:O51)</f>
        <v>13162.401602957569</v>
      </c>
    </row>
    <row r="53" spans="3:15" ht="20.100000000000001" customHeight="1" x14ac:dyDescent="0.3">
      <c r="C53" s="109"/>
      <c r="N53" s="159"/>
      <c r="O53" s="159"/>
    </row>
    <row r="54" spans="3:15" ht="20.100000000000001" customHeight="1" x14ac:dyDescent="0.3">
      <c r="J54" s="313"/>
      <c r="L54" s="109"/>
      <c r="M54" s="109"/>
      <c r="N54" s="159"/>
    </row>
    <row r="55" spans="3:15" ht="20.100000000000001" customHeight="1" x14ac:dyDescent="0.3">
      <c r="L55" s="109"/>
      <c r="M55" s="109"/>
      <c r="O55" s="109"/>
    </row>
    <row r="56" spans="3:15" ht="20.100000000000001" customHeight="1" x14ac:dyDescent="0.3">
      <c r="L56" s="109"/>
      <c r="M56" s="109"/>
      <c r="N56" s="109"/>
      <c r="O56" s="109"/>
    </row>
    <row r="57" spans="3:15" ht="20.100000000000001" customHeight="1" x14ac:dyDescent="0.3">
      <c r="L57" s="109"/>
      <c r="M57" s="109"/>
      <c r="N57" s="109"/>
      <c r="O57" s="109"/>
    </row>
    <row r="58" spans="3:15" ht="20.100000000000001" customHeight="1" x14ac:dyDescent="0.3">
      <c r="L58" s="109"/>
      <c r="M58" s="109"/>
      <c r="N58" s="109"/>
      <c r="O58" s="109"/>
    </row>
    <row r="59" spans="3:15" x14ac:dyDescent="0.3">
      <c r="L59" s="109"/>
      <c r="M59" s="109"/>
      <c r="N59" s="109"/>
      <c r="O59" s="109"/>
    </row>
    <row r="60" spans="3:15" x14ac:dyDescent="0.3">
      <c r="N60" s="109"/>
      <c r="O60" s="109"/>
    </row>
    <row r="61" spans="3:15" x14ac:dyDescent="0.3">
      <c r="N61" s="109"/>
    </row>
  </sheetData>
  <mergeCells count="15">
    <mergeCell ref="B13:C13"/>
    <mergeCell ref="B1:F1"/>
    <mergeCell ref="B2:F2"/>
    <mergeCell ref="B5:C5"/>
    <mergeCell ref="K5:L5"/>
    <mergeCell ref="E3:H3"/>
    <mergeCell ref="K52:M52"/>
    <mergeCell ref="K42:O42"/>
    <mergeCell ref="N5:O5"/>
    <mergeCell ref="E27:G27"/>
    <mergeCell ref="E26:G26"/>
    <mergeCell ref="N25:O25"/>
    <mergeCell ref="N34:O34"/>
    <mergeCell ref="E29:I30"/>
    <mergeCell ref="E31:G31"/>
  </mergeCells>
  <pageMargins left="0.5" right="0.5" top="0.5" bottom="0.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0"/>
  <sheetViews>
    <sheetView showGridLines="0" tabSelected="1" workbookViewId="0"/>
  </sheetViews>
  <sheetFormatPr defaultColWidth="9" defaultRowHeight="16.5" x14ac:dyDescent="0.3"/>
  <cols>
    <col min="1" max="1" width="1.75" style="109" customWidth="1"/>
    <col min="2" max="2" width="23" style="109" customWidth="1"/>
    <col min="3" max="3" width="12.125" style="280" bestFit="1" customWidth="1"/>
    <col min="4" max="4" width="1.75" style="109" customWidth="1"/>
    <col min="5" max="5" width="21.375" style="109" bestFit="1" customWidth="1"/>
    <col min="6" max="9" width="14.75" style="126" customWidth="1"/>
    <col min="10" max="10" width="4.75" style="127" bestFit="1" customWidth="1"/>
    <col min="11" max="11" width="22.25" style="109" customWidth="1"/>
    <col min="12" max="12" width="15.125" style="126" customWidth="1"/>
    <col min="13" max="13" width="15.25" style="126" customWidth="1"/>
    <col min="14" max="14" width="25.75" style="126" customWidth="1"/>
    <col min="15" max="15" width="12.625" style="126" bestFit="1" customWidth="1"/>
    <col min="16" max="16" width="1.5" style="109" customWidth="1"/>
    <col min="17" max="17" width="13.125" style="109" customWidth="1"/>
    <col min="18" max="18" width="11.125" style="109" bestFit="1" customWidth="1"/>
    <col min="19" max="19" width="9" style="109"/>
    <col min="20" max="20" width="13.625" style="109" bestFit="1" customWidth="1"/>
    <col min="21" max="21" width="10.25" style="109" bestFit="1" customWidth="1"/>
    <col min="22" max="16384" width="9" style="109"/>
  </cols>
  <sheetData>
    <row r="1" spans="2:19" x14ac:dyDescent="0.3">
      <c r="B1" s="124" t="s">
        <v>169</v>
      </c>
      <c r="C1" s="124"/>
      <c r="D1" s="124"/>
      <c r="E1" s="124"/>
      <c r="F1" s="124"/>
      <c r="G1" s="125"/>
    </row>
    <row r="2" spans="2:19" ht="17.25" thickBot="1" x14ac:dyDescent="0.35">
      <c r="B2" s="128"/>
      <c r="C2" s="129"/>
      <c r="D2" s="129"/>
      <c r="E2" s="129"/>
      <c r="F2" s="129"/>
      <c r="G2" s="130"/>
    </row>
    <row r="3" spans="2:19" ht="17.25" thickBot="1" x14ac:dyDescent="0.35">
      <c r="B3" s="131"/>
      <c r="C3" s="132"/>
      <c r="D3" s="130"/>
      <c r="E3" s="133" t="s">
        <v>69</v>
      </c>
      <c r="F3" s="134"/>
      <c r="G3" s="134"/>
      <c r="H3" s="135"/>
    </row>
    <row r="4" spans="2:19" ht="17.25" thickBot="1" x14ac:dyDescent="0.35">
      <c r="C4" s="136"/>
    </row>
    <row r="5" spans="2:19" ht="24.75" thickBot="1" x14ac:dyDescent="0.35">
      <c r="B5" s="137" t="s">
        <v>50</v>
      </c>
      <c r="C5" s="138"/>
      <c r="D5" s="139"/>
      <c r="E5" s="140"/>
      <c r="F5" s="141" t="s">
        <v>131</v>
      </c>
      <c r="G5" s="141" t="s">
        <v>93</v>
      </c>
      <c r="H5" s="142" t="s">
        <v>90</v>
      </c>
      <c r="I5" s="143"/>
      <c r="J5" s="143"/>
      <c r="K5" s="144" t="s">
        <v>145</v>
      </c>
      <c r="L5" s="145"/>
      <c r="M5" s="146"/>
      <c r="N5" s="147" t="s">
        <v>49</v>
      </c>
      <c r="O5" s="148"/>
      <c r="P5" s="149"/>
    </row>
    <row r="6" spans="2:19" x14ac:dyDescent="0.3">
      <c r="B6" s="150" t="s">
        <v>86</v>
      </c>
      <c r="C6" s="151">
        <f>'One Year Fee Schedule'!C3</f>
        <v>240</v>
      </c>
      <c r="D6" s="152"/>
      <c r="E6" s="153" t="s">
        <v>18</v>
      </c>
      <c r="F6" s="154">
        <v>10.4</v>
      </c>
      <c r="G6" s="154">
        <v>10.9</v>
      </c>
      <c r="H6" s="155">
        <f>Wages!F6/2080</f>
        <v>21.045673076923077</v>
      </c>
      <c r="I6" s="156"/>
      <c r="J6" s="156"/>
      <c r="K6" s="157" t="s">
        <v>21</v>
      </c>
      <c r="L6" s="158">
        <v>3436</v>
      </c>
      <c r="M6" s="159"/>
      <c r="N6" s="160" t="s">
        <v>7</v>
      </c>
      <c r="O6" s="161">
        <f>(+C11*O14*(478*0.7)*12)*1.1</f>
        <v>24402.378000000001</v>
      </c>
      <c r="P6" s="126"/>
      <c r="Q6" s="162"/>
      <c r="R6" s="163"/>
      <c r="S6" s="162"/>
    </row>
    <row r="7" spans="2:19" x14ac:dyDescent="0.3">
      <c r="B7" s="164" t="s">
        <v>144</v>
      </c>
      <c r="C7" s="165">
        <f>'One Year Fee Schedule'!D3</f>
        <v>60</v>
      </c>
      <c r="D7" s="152"/>
      <c r="E7" s="164" t="s">
        <v>1</v>
      </c>
      <c r="F7" s="166">
        <f>+F6*$C$14</f>
        <v>0.79559999999999997</v>
      </c>
      <c r="G7" s="166">
        <f>+G6*$C$14</f>
        <v>0.83384999999999998</v>
      </c>
      <c r="H7" s="167">
        <f>+H6*$C$14</f>
        <v>1.6099939903846154</v>
      </c>
      <c r="I7" s="168"/>
      <c r="J7" s="168"/>
      <c r="K7" s="164" t="s">
        <v>23</v>
      </c>
      <c r="L7" s="167">
        <f>C11*1032</f>
        <v>8772</v>
      </c>
      <c r="M7" s="159"/>
      <c r="N7" s="169" t="s">
        <v>8</v>
      </c>
      <c r="O7" s="167">
        <f>(+C11*O14*(21*0.7)*12)*1.1</f>
        <v>1072.0710000000001</v>
      </c>
      <c r="P7" s="126"/>
      <c r="Q7" s="162"/>
      <c r="R7" s="162"/>
      <c r="S7" s="162"/>
    </row>
    <row r="8" spans="2:19" x14ac:dyDescent="0.3">
      <c r="B8" s="164" t="s">
        <v>54</v>
      </c>
      <c r="C8" s="165">
        <f>'One Year Fee Schedule'!E3</f>
        <v>40</v>
      </c>
      <c r="D8" s="152"/>
      <c r="E8" s="164" t="s">
        <v>2</v>
      </c>
      <c r="F8" s="166">
        <f>F6*$C$15</f>
        <v>0.58240000000000003</v>
      </c>
      <c r="G8" s="166">
        <f>G6*$C$15</f>
        <v>0.61040000000000005</v>
      </c>
      <c r="H8" s="167">
        <f>H6*$C$15</f>
        <v>1.1785576923076924</v>
      </c>
      <c r="I8" s="168"/>
      <c r="J8" s="168"/>
      <c r="K8" s="164" t="s">
        <v>67</v>
      </c>
      <c r="L8" s="167">
        <f>O51</f>
        <v>13162.401602957569</v>
      </c>
      <c r="M8" s="159"/>
      <c r="N8" s="170" t="s">
        <v>17</v>
      </c>
      <c r="O8" s="171">
        <v>0</v>
      </c>
      <c r="P8" s="126"/>
      <c r="Q8" s="162"/>
      <c r="R8" s="162"/>
      <c r="S8" s="162"/>
    </row>
    <row r="9" spans="2:19" x14ac:dyDescent="0.3">
      <c r="B9" s="172" t="s">
        <v>25</v>
      </c>
      <c r="C9" s="173">
        <f>SUM(C6:C8)</f>
        <v>340</v>
      </c>
      <c r="D9" s="152"/>
      <c r="E9" s="164" t="s">
        <v>62</v>
      </c>
      <c r="F9" s="166">
        <f>+F6*$C$17</f>
        <v>0.89127999999999996</v>
      </c>
      <c r="G9" s="166">
        <f>+G6*$C$17</f>
        <v>0.93413000000000002</v>
      </c>
      <c r="H9" s="167">
        <f>+H6*$C$17</f>
        <v>1.8036141826923076</v>
      </c>
      <c r="I9" s="168"/>
      <c r="J9" s="168"/>
      <c r="K9" s="164" t="s">
        <v>65</v>
      </c>
      <c r="L9" s="174"/>
      <c r="M9" s="159"/>
      <c r="N9" s="169" t="s">
        <v>12</v>
      </c>
      <c r="O9" s="167">
        <f>+C11*O14*4*12</f>
        <v>265.20000000000005</v>
      </c>
      <c r="P9" s="126"/>
      <c r="Q9" s="162"/>
      <c r="R9" s="162"/>
      <c r="S9" s="162"/>
    </row>
    <row r="10" spans="2:19" x14ac:dyDescent="0.3">
      <c r="B10" s="172" t="s">
        <v>26</v>
      </c>
      <c r="C10" s="173">
        <f>C9*52</f>
        <v>17680</v>
      </c>
      <c r="D10" s="152"/>
      <c r="E10" s="164" t="s">
        <v>63</v>
      </c>
      <c r="F10" s="166">
        <f>F6*C18</f>
        <v>6.2400000000000004E-2</v>
      </c>
      <c r="G10" s="166">
        <f>G6*C18</f>
        <v>6.54E-2</v>
      </c>
      <c r="H10" s="167">
        <f>H6*$C$18</f>
        <v>0.12627403846153845</v>
      </c>
      <c r="I10" s="168"/>
      <c r="J10" s="168"/>
      <c r="K10" s="164" t="s">
        <v>40</v>
      </c>
      <c r="L10" s="167">
        <v>0</v>
      </c>
      <c r="M10" s="159"/>
      <c r="N10" s="175" t="s">
        <v>13</v>
      </c>
      <c r="O10" s="167">
        <f>(+C11*(F6*(1+C19))*8)</f>
        <v>883.78784000000007</v>
      </c>
      <c r="P10" s="126"/>
      <c r="Q10" s="162"/>
      <c r="R10" s="163"/>
      <c r="S10" s="162"/>
    </row>
    <row r="11" spans="2:19" ht="17.25" thickBot="1" x14ac:dyDescent="0.35">
      <c r="B11" s="176" t="s">
        <v>84</v>
      </c>
      <c r="C11" s="177">
        <f>+C9/40</f>
        <v>8.5</v>
      </c>
      <c r="D11" s="152"/>
      <c r="E11" s="178" t="s">
        <v>72</v>
      </c>
      <c r="F11" s="179">
        <f>SUM(F6:F10)</f>
        <v>12.731680000000001</v>
      </c>
      <c r="G11" s="179">
        <f>SUM(G6:G10)</f>
        <v>13.343780000000001</v>
      </c>
      <c r="H11" s="180">
        <f>SUM(H6:H10)</f>
        <v>25.76411298076923</v>
      </c>
      <c r="I11" s="168"/>
      <c r="J11" s="168"/>
      <c r="K11" s="164" t="s">
        <v>6</v>
      </c>
      <c r="L11" s="167">
        <v>300</v>
      </c>
      <c r="M11" s="159"/>
      <c r="N11" s="169" t="s">
        <v>14</v>
      </c>
      <c r="O11" s="167">
        <f>(+C11*(F6*(1+C19))*40)</f>
        <v>4418.9392000000007</v>
      </c>
      <c r="P11" s="126"/>
      <c r="Q11" s="162"/>
      <c r="R11" s="162"/>
      <c r="S11" s="162"/>
    </row>
    <row r="12" spans="2:19" ht="17.25" thickBot="1" x14ac:dyDescent="0.35">
      <c r="B12" s="181"/>
      <c r="C12" s="182"/>
      <c r="D12" s="152"/>
      <c r="E12" s="183" t="s">
        <v>50</v>
      </c>
      <c r="F12" s="184">
        <f>C6</f>
        <v>240</v>
      </c>
      <c r="G12" s="184">
        <f>C7</f>
        <v>60</v>
      </c>
      <c r="H12" s="185">
        <f>C8</f>
        <v>40</v>
      </c>
      <c r="I12" s="168"/>
      <c r="J12" s="168"/>
      <c r="K12" s="186" t="s">
        <v>11</v>
      </c>
      <c r="L12" s="167">
        <f>+C11*82.4*1.5</f>
        <v>1050.6000000000001</v>
      </c>
      <c r="M12" s="159"/>
      <c r="N12" s="169" t="s">
        <v>0</v>
      </c>
      <c r="O12" s="167">
        <f>SUM(O6:O11)</f>
        <v>31042.376040000003</v>
      </c>
      <c r="P12" s="126"/>
      <c r="Q12" s="162"/>
      <c r="R12" s="162"/>
      <c r="S12" s="162"/>
    </row>
    <row r="13" spans="2:19" ht="17.25" thickBot="1" x14ac:dyDescent="0.35">
      <c r="B13" s="137" t="s">
        <v>27</v>
      </c>
      <c r="C13" s="138"/>
      <c r="D13" s="152"/>
      <c r="E13" s="187" t="s">
        <v>74</v>
      </c>
      <c r="F13" s="188">
        <v>52</v>
      </c>
      <c r="G13" s="188">
        <v>52</v>
      </c>
      <c r="H13" s="189">
        <v>52</v>
      </c>
      <c r="I13" s="168"/>
      <c r="J13" s="168"/>
      <c r="K13" s="164" t="s">
        <v>9</v>
      </c>
      <c r="L13" s="167">
        <v>0</v>
      </c>
      <c r="M13" s="159"/>
      <c r="N13" s="190" t="s">
        <v>15</v>
      </c>
      <c r="O13" s="191">
        <f>O12/C10</f>
        <v>1.7557905000000003</v>
      </c>
      <c r="P13" s="126"/>
      <c r="Q13" s="162"/>
      <c r="R13" s="162"/>
      <c r="S13" s="162"/>
    </row>
    <row r="14" spans="2:19" ht="17.25" thickBot="1" x14ac:dyDescent="0.35">
      <c r="B14" s="192" t="s">
        <v>1</v>
      </c>
      <c r="C14" s="193">
        <v>7.6499999999999999E-2</v>
      </c>
      <c r="D14" s="152"/>
      <c r="E14" s="187" t="s">
        <v>73</v>
      </c>
      <c r="F14" s="194">
        <f>F11*F12*F13</f>
        <v>158891.3664</v>
      </c>
      <c r="G14" s="194">
        <f>G11*G12*G13</f>
        <v>41632.5936</v>
      </c>
      <c r="H14" s="195">
        <f t="shared" ref="H14" si="0">H11*H12*H13</f>
        <v>53589.355000000003</v>
      </c>
      <c r="I14" s="168"/>
      <c r="J14" s="168"/>
      <c r="K14" s="164" t="s">
        <v>33</v>
      </c>
      <c r="L14" s="167">
        <v>1800</v>
      </c>
      <c r="M14" s="159"/>
      <c r="N14" s="196" t="s">
        <v>47</v>
      </c>
      <c r="O14" s="197">
        <v>0.65</v>
      </c>
      <c r="P14" s="126"/>
      <c r="Q14" s="162"/>
      <c r="R14" s="162"/>
      <c r="S14" s="162"/>
    </row>
    <row r="15" spans="2:19" x14ac:dyDescent="0.3">
      <c r="B15" s="169" t="s">
        <v>2</v>
      </c>
      <c r="C15" s="198">
        <v>5.6000000000000001E-2</v>
      </c>
      <c r="D15" s="152"/>
      <c r="E15" s="164" t="s">
        <v>3</v>
      </c>
      <c r="F15" s="166">
        <f>F6*$C$16</f>
        <v>0.26519999999999999</v>
      </c>
      <c r="G15" s="166">
        <f>G6*$C$16</f>
        <v>0.27794999999999997</v>
      </c>
      <c r="H15" s="166">
        <f>H6*$C$16</f>
        <v>0.5366646634615384</v>
      </c>
      <c r="I15" s="168"/>
      <c r="J15" s="168"/>
      <c r="K15" s="186" t="s">
        <v>5</v>
      </c>
      <c r="L15" s="167">
        <f>'Other Costs'!F15</f>
        <v>8259.0938500000011</v>
      </c>
      <c r="M15" s="159"/>
      <c r="N15" s="199"/>
      <c r="O15" s="200"/>
      <c r="P15" s="127"/>
      <c r="Q15" s="162"/>
      <c r="R15" s="162"/>
      <c r="S15" s="162"/>
    </row>
    <row r="16" spans="2:19" x14ac:dyDescent="0.3">
      <c r="B16" s="169" t="s">
        <v>3</v>
      </c>
      <c r="C16" s="198">
        <v>2.5499999999999998E-2</v>
      </c>
      <c r="D16" s="152"/>
      <c r="E16" s="164" t="s">
        <v>15</v>
      </c>
      <c r="F16" s="166">
        <f>O13</f>
        <v>1.7557905000000003</v>
      </c>
      <c r="G16" s="166">
        <f>F16</f>
        <v>1.7557905000000003</v>
      </c>
      <c r="H16" s="167">
        <f>F16</f>
        <v>1.7557905000000003</v>
      </c>
      <c r="I16" s="168"/>
      <c r="J16" s="168"/>
      <c r="K16" s="164" t="s">
        <v>34</v>
      </c>
      <c r="L16" s="167">
        <f>+C10*0.01*(F6*(1+C19)/2)</f>
        <v>1148.9241920000002</v>
      </c>
      <c r="M16" s="159"/>
      <c r="N16" s="199"/>
      <c r="O16" s="200"/>
      <c r="P16" s="127"/>
      <c r="Q16" s="162"/>
    </row>
    <row r="17" spans="2:20" x14ac:dyDescent="0.3">
      <c r="B17" s="201" t="s">
        <v>62</v>
      </c>
      <c r="C17" s="202">
        <v>8.5699999999999998E-2</v>
      </c>
      <c r="D17" s="152"/>
      <c r="E17" s="164" t="s">
        <v>4</v>
      </c>
      <c r="F17" s="166">
        <f>L39</f>
        <v>2.8851306360270117</v>
      </c>
      <c r="G17" s="166">
        <f>F17</f>
        <v>2.8851306360270117</v>
      </c>
      <c r="H17" s="167">
        <f>F17</f>
        <v>2.8851306360270117</v>
      </c>
      <c r="I17" s="168"/>
      <c r="J17" s="168"/>
      <c r="K17" s="164" t="s">
        <v>19</v>
      </c>
      <c r="L17" s="167">
        <v>1200</v>
      </c>
      <c r="M17" s="159"/>
      <c r="N17" s="199"/>
      <c r="O17" s="200"/>
      <c r="P17" s="127"/>
      <c r="Q17" s="162"/>
    </row>
    <row r="18" spans="2:20" ht="17.25" thickBot="1" x14ac:dyDescent="0.35">
      <c r="B18" s="203" t="s">
        <v>63</v>
      </c>
      <c r="C18" s="202">
        <v>6.0000000000000001E-3</v>
      </c>
      <c r="D18" s="152"/>
      <c r="E18" s="164" t="s">
        <v>91</v>
      </c>
      <c r="F18" s="204">
        <f>H46/C10</f>
        <v>1.6416248230046038</v>
      </c>
      <c r="G18" s="204">
        <f>F18</f>
        <v>1.6416248230046038</v>
      </c>
      <c r="H18" s="167">
        <f>F18</f>
        <v>1.6416248230046038</v>
      </c>
      <c r="I18" s="168"/>
      <c r="J18" s="168"/>
      <c r="K18" s="164" t="s">
        <v>35</v>
      </c>
      <c r="L18" s="167">
        <v>0</v>
      </c>
      <c r="M18" s="159"/>
      <c r="N18" s="181"/>
      <c r="O18" s="205"/>
      <c r="P18" s="126"/>
    </row>
    <row r="19" spans="2:20" ht="17.25" thickBot="1" x14ac:dyDescent="0.35">
      <c r="B19" s="206" t="s">
        <v>0</v>
      </c>
      <c r="C19" s="197">
        <f>SUM(C14:C18)</f>
        <v>0.24970000000000001</v>
      </c>
      <c r="D19" s="152"/>
      <c r="E19" s="175"/>
      <c r="F19" s="168"/>
      <c r="G19" s="168"/>
      <c r="H19" s="207"/>
      <c r="I19" s="168"/>
      <c r="J19" s="168"/>
      <c r="K19" s="164" t="s">
        <v>44</v>
      </c>
      <c r="L19" s="167">
        <f>80*12</f>
        <v>960</v>
      </c>
      <c r="M19" s="159"/>
      <c r="N19" s="208"/>
      <c r="O19" s="208"/>
      <c r="P19" s="208"/>
      <c r="Q19" s="152"/>
      <c r="R19" s="152"/>
    </row>
    <row r="20" spans="2:20" x14ac:dyDescent="0.3">
      <c r="B20" s="209"/>
      <c r="C20" s="210"/>
      <c r="D20" s="152"/>
      <c r="E20" s="211" t="s">
        <v>16</v>
      </c>
      <c r="F20" s="212">
        <f>F11+F15+F16+F17+F18</f>
        <v>19.279425959031617</v>
      </c>
      <c r="G20" s="212">
        <f>G11+G15+G16+G17+G18</f>
        <v>19.904275959031619</v>
      </c>
      <c r="H20" s="213">
        <f>H11+H15+H16+H17+H18</f>
        <v>32.583323603262386</v>
      </c>
      <c r="I20" s="168"/>
      <c r="J20" s="168"/>
      <c r="K20" s="164" t="s">
        <v>29</v>
      </c>
      <c r="L20" s="167">
        <v>0</v>
      </c>
      <c r="M20" s="159"/>
      <c r="N20" s="214"/>
      <c r="O20" s="214"/>
      <c r="P20" s="215"/>
      <c r="Q20" s="152"/>
      <c r="R20" s="152"/>
    </row>
    <row r="21" spans="2:20" x14ac:dyDescent="0.3">
      <c r="B21" s="216"/>
      <c r="C21" s="210"/>
      <c r="D21" s="152"/>
      <c r="E21" s="164" t="s">
        <v>50</v>
      </c>
      <c r="F21" s="217">
        <f>C6</f>
        <v>240</v>
      </c>
      <c r="G21" s="217">
        <f>C7</f>
        <v>60</v>
      </c>
      <c r="H21" s="218">
        <f>C8</f>
        <v>40</v>
      </c>
      <c r="I21" s="156"/>
      <c r="J21" s="156"/>
      <c r="K21" s="164" t="s">
        <v>36</v>
      </c>
      <c r="L21" s="167">
        <v>0</v>
      </c>
      <c r="M21" s="159"/>
      <c r="N21" s="214"/>
      <c r="O21" s="219"/>
      <c r="P21" s="214"/>
      <c r="Q21" s="220"/>
      <c r="R21" s="152"/>
    </row>
    <row r="22" spans="2:20" x14ac:dyDescent="0.3">
      <c r="B22" s="221" t="s">
        <v>24</v>
      </c>
      <c r="C22" s="221"/>
      <c r="D22" s="152"/>
      <c r="E22" s="164" t="s">
        <v>51</v>
      </c>
      <c r="F22" s="222">
        <f>F21*52</f>
        <v>12480</v>
      </c>
      <c r="G22" s="222">
        <f>G21*52</f>
        <v>3120</v>
      </c>
      <c r="H22" s="223">
        <f>H21*52</f>
        <v>2080</v>
      </c>
      <c r="I22" s="224"/>
      <c r="J22" s="224"/>
      <c r="K22" s="164" t="s">
        <v>30</v>
      </c>
      <c r="L22" s="167">
        <v>0</v>
      </c>
      <c r="M22" s="159"/>
      <c r="N22" s="214"/>
      <c r="O22" s="219"/>
      <c r="P22" s="214"/>
      <c r="Q22" s="220"/>
      <c r="R22" s="152"/>
    </row>
    <row r="23" spans="2:20" x14ac:dyDescent="0.3">
      <c r="B23" s="225"/>
      <c r="C23" s="226"/>
      <c r="D23" s="221"/>
      <c r="E23" s="153" t="s">
        <v>10</v>
      </c>
      <c r="F23" s="154">
        <f>+F20*C6*52</f>
        <v>240607.23596871455</v>
      </c>
      <c r="G23" s="154">
        <f>G20*G22</f>
        <v>62101.340992178652</v>
      </c>
      <c r="H23" s="155">
        <f>+H20*C8*52</f>
        <v>67773.313094785757</v>
      </c>
      <c r="I23" s="227"/>
      <c r="J23" s="227"/>
      <c r="K23" s="164" t="s">
        <v>28</v>
      </c>
      <c r="L23" s="167">
        <v>0</v>
      </c>
      <c r="M23" s="228"/>
      <c r="N23" s="214"/>
      <c r="O23" s="219"/>
      <c r="P23" s="214"/>
      <c r="Q23" s="220"/>
      <c r="R23" s="152"/>
    </row>
    <row r="24" spans="2:20" ht="17.25" thickBot="1" x14ac:dyDescent="0.35">
      <c r="B24" s="209"/>
      <c r="C24" s="226"/>
      <c r="D24" s="152"/>
      <c r="E24" s="229" t="s">
        <v>48</v>
      </c>
      <c r="F24" s="230"/>
      <c r="G24" s="230"/>
      <c r="H24" s="231">
        <f>SUM(F23:H23)</f>
        <v>370481.89005567902</v>
      </c>
      <c r="I24" s="156"/>
      <c r="J24" s="156"/>
      <c r="K24" s="164" t="s">
        <v>31</v>
      </c>
      <c r="L24" s="167">
        <f>250+(50*11)</f>
        <v>800</v>
      </c>
      <c r="M24" s="159"/>
      <c r="N24" s="214"/>
      <c r="O24" s="219"/>
      <c r="P24" s="214"/>
      <c r="Q24" s="220"/>
      <c r="R24" s="152"/>
      <c r="T24" s="232"/>
    </row>
    <row r="25" spans="2:20" ht="17.25" thickBot="1" x14ac:dyDescent="0.35">
      <c r="B25" s="225"/>
      <c r="C25" s="226"/>
      <c r="D25" s="152"/>
      <c r="E25" s="233"/>
      <c r="F25" s="233"/>
      <c r="G25" s="233"/>
      <c r="H25" s="234"/>
      <c r="I25" s="235"/>
      <c r="J25" s="235"/>
      <c r="K25" s="164" t="s">
        <v>37</v>
      </c>
      <c r="L25" s="167">
        <f>+(200+200)+(74.25*2*12)</f>
        <v>2182</v>
      </c>
      <c r="M25" s="159"/>
      <c r="N25" s="236"/>
      <c r="O25" s="236"/>
      <c r="P25" s="237"/>
      <c r="Q25" s="220"/>
      <c r="R25" s="152"/>
      <c r="S25" s="220"/>
    </row>
    <row r="26" spans="2:20" ht="17.25" thickBot="1" x14ac:dyDescent="0.35">
      <c r="B26" s="225"/>
      <c r="C26" s="226"/>
      <c r="D26" s="152"/>
      <c r="E26" s="238" t="s">
        <v>52</v>
      </c>
      <c r="F26" s="239"/>
      <c r="G26" s="239"/>
      <c r="H26" s="240">
        <f>H24/C11</f>
        <v>43586.104712432825</v>
      </c>
      <c r="I26" s="241"/>
      <c r="J26" s="235"/>
      <c r="K26" s="164" t="s">
        <v>152</v>
      </c>
      <c r="L26" s="167">
        <f>100*12</f>
        <v>1200</v>
      </c>
      <c r="M26" s="242"/>
      <c r="N26" s="214"/>
      <c r="O26" s="214"/>
      <c r="P26" s="243"/>
      <c r="Q26" s="220"/>
      <c r="R26" s="220"/>
    </row>
    <row r="27" spans="2:20" x14ac:dyDescent="0.3">
      <c r="B27" s="225"/>
      <c r="C27" s="226"/>
      <c r="D27" s="152"/>
      <c r="E27" s="244"/>
      <c r="F27" s="244"/>
      <c r="G27" s="244"/>
      <c r="H27" s="245"/>
      <c r="I27" s="246"/>
      <c r="J27" s="241"/>
      <c r="K27" s="164" t="s">
        <v>75</v>
      </c>
      <c r="L27" s="167">
        <v>0</v>
      </c>
      <c r="M27" s="242"/>
      <c r="N27" s="214"/>
      <c r="O27" s="214"/>
      <c r="P27" s="214"/>
      <c r="Q27" s="220"/>
      <c r="R27" s="152"/>
    </row>
    <row r="28" spans="2:20" ht="17.25" thickBot="1" x14ac:dyDescent="0.35">
      <c r="B28" s="225"/>
      <c r="C28" s="226"/>
      <c r="D28" s="152"/>
      <c r="E28" s="152"/>
      <c r="F28" s="159"/>
      <c r="G28" s="159"/>
      <c r="H28" s="247"/>
      <c r="I28" s="248"/>
      <c r="J28" s="246"/>
      <c r="K28" s="164" t="s">
        <v>38</v>
      </c>
      <c r="L28" s="167">
        <v>0</v>
      </c>
      <c r="M28" s="159"/>
      <c r="N28" s="208"/>
      <c r="O28" s="208"/>
      <c r="P28" s="208"/>
      <c r="Q28" s="220"/>
      <c r="R28" s="152"/>
    </row>
    <row r="29" spans="2:20" x14ac:dyDescent="0.3">
      <c r="B29" s="225"/>
      <c r="C29" s="226"/>
      <c r="D29" s="152"/>
      <c r="E29" s="249" t="s">
        <v>85</v>
      </c>
      <c r="F29" s="250"/>
      <c r="G29" s="250"/>
      <c r="H29" s="250"/>
      <c r="I29" s="251"/>
      <c r="J29" s="245"/>
      <c r="K29" s="164" t="s">
        <v>20</v>
      </c>
      <c r="L29" s="167">
        <v>0</v>
      </c>
      <c r="M29" s="159"/>
      <c r="N29" s="214"/>
      <c r="O29" s="214"/>
      <c r="P29" s="215"/>
      <c r="Q29" s="152"/>
      <c r="R29" s="152"/>
    </row>
    <row r="30" spans="2:20" ht="17.25" thickBot="1" x14ac:dyDescent="0.35">
      <c r="B30" s="225"/>
      <c r="C30" s="226"/>
      <c r="D30" s="152"/>
      <c r="E30" s="252"/>
      <c r="F30" s="253"/>
      <c r="G30" s="253"/>
      <c r="H30" s="253"/>
      <c r="I30" s="254"/>
      <c r="J30" s="255"/>
      <c r="K30" s="164" t="s">
        <v>64</v>
      </c>
      <c r="L30" s="167">
        <v>0</v>
      </c>
      <c r="M30" s="159"/>
      <c r="N30" s="214"/>
      <c r="O30" s="219"/>
      <c r="P30" s="214"/>
      <c r="Q30" s="220"/>
      <c r="R30" s="152"/>
    </row>
    <row r="31" spans="2:20" ht="17.25" thickBot="1" x14ac:dyDescent="0.35">
      <c r="B31" s="225"/>
      <c r="C31" s="226"/>
      <c r="D31" s="152"/>
      <c r="E31" s="256" t="s">
        <v>41</v>
      </c>
      <c r="F31" s="257"/>
      <c r="G31" s="257"/>
      <c r="H31" s="258" t="s">
        <v>43</v>
      </c>
      <c r="I31" s="259" t="s">
        <v>61</v>
      </c>
      <c r="J31" s="260"/>
      <c r="K31" s="164" t="s">
        <v>76</v>
      </c>
      <c r="L31" s="167">
        <v>0</v>
      </c>
      <c r="M31" s="159"/>
      <c r="N31" s="214"/>
      <c r="O31" s="219"/>
      <c r="P31" s="214"/>
      <c r="Q31" s="220"/>
      <c r="R31" s="152"/>
    </row>
    <row r="32" spans="2:20" x14ac:dyDescent="0.3">
      <c r="B32" s="225"/>
      <c r="C32" s="226"/>
      <c r="D32" s="152"/>
      <c r="E32" s="261" t="s">
        <v>70</v>
      </c>
      <c r="F32" s="262"/>
      <c r="G32" s="262"/>
      <c r="H32" s="263">
        <f>SUM(F14:H14)</f>
        <v>254113.315</v>
      </c>
      <c r="I32" s="264">
        <f t="shared" ref="I32:I46" si="1">H32/$H$48</f>
        <v>0.68589942402261506</v>
      </c>
      <c r="J32" s="255"/>
      <c r="K32" s="164" t="s">
        <v>32</v>
      </c>
      <c r="L32" s="167">
        <f>N51*0.03</f>
        <v>1050.0899999999999</v>
      </c>
      <c r="M32" s="159"/>
      <c r="N32" s="214"/>
      <c r="O32" s="219"/>
      <c r="P32" s="214"/>
      <c r="Q32" s="220"/>
      <c r="R32" s="152"/>
    </row>
    <row r="33" spans="2:18" x14ac:dyDescent="0.3">
      <c r="B33" s="225"/>
      <c r="C33" s="226"/>
      <c r="D33" s="152"/>
      <c r="E33" s="265" t="s">
        <v>15</v>
      </c>
      <c r="F33" s="266"/>
      <c r="G33" s="266"/>
      <c r="H33" s="267">
        <f>O12</f>
        <v>31042.376040000003</v>
      </c>
      <c r="I33" s="268">
        <f t="shared" si="1"/>
        <v>8.3789186120095394E-2</v>
      </c>
      <c r="J33" s="248"/>
      <c r="K33" s="164" t="s">
        <v>39</v>
      </c>
      <c r="L33" s="167">
        <v>0</v>
      </c>
      <c r="M33" s="159"/>
      <c r="N33" s="214"/>
      <c r="O33" s="219"/>
      <c r="P33" s="214"/>
      <c r="Q33" s="220"/>
      <c r="R33" s="152"/>
    </row>
    <row r="34" spans="2:18" ht="20.100000000000001" customHeight="1" x14ac:dyDescent="0.3">
      <c r="B34" s="225"/>
      <c r="C34" s="226"/>
      <c r="D34" s="152"/>
      <c r="E34" s="265" t="s">
        <v>115</v>
      </c>
      <c r="F34" s="266"/>
      <c r="G34" s="266"/>
      <c r="H34" s="267">
        <f>(C6*F15*52)+(G15*C7*52)+(H15*C8*52)</f>
        <v>5293.1624999999995</v>
      </c>
      <c r="I34" s="268">
        <f t="shared" si="1"/>
        <v>1.4287236817984546E-2</v>
      </c>
      <c r="J34" s="269"/>
      <c r="K34" s="164" t="s">
        <v>153</v>
      </c>
      <c r="L34" s="167">
        <v>0</v>
      </c>
      <c r="M34" s="159"/>
      <c r="N34" s="236"/>
      <c r="O34" s="236"/>
      <c r="P34" s="237"/>
      <c r="Q34" s="220"/>
      <c r="R34" s="152"/>
    </row>
    <row r="35" spans="2:18" ht="20.100000000000001" customHeight="1" x14ac:dyDescent="0.3">
      <c r="B35" s="225"/>
      <c r="C35" s="270"/>
      <c r="D35" s="152"/>
      <c r="E35" s="265" t="s">
        <v>188</v>
      </c>
      <c r="F35" s="271"/>
      <c r="G35" s="271"/>
      <c r="H35" s="267">
        <f>L10+L11+L16+L17+L12+L19</f>
        <v>4659.5241920000008</v>
      </c>
      <c r="I35" s="268">
        <f t="shared" si="1"/>
        <v>1.2576928365647591E-2</v>
      </c>
      <c r="J35" s="269"/>
      <c r="K35" s="164" t="s">
        <v>158</v>
      </c>
      <c r="L35" s="167">
        <f>186*8</f>
        <v>1488</v>
      </c>
      <c r="M35" s="159"/>
      <c r="N35" s="208"/>
      <c r="O35" s="208"/>
      <c r="P35" s="152"/>
      <c r="Q35" s="220"/>
      <c r="R35" s="152"/>
    </row>
    <row r="36" spans="2:18" ht="20.100000000000001" customHeight="1" x14ac:dyDescent="0.3">
      <c r="B36" s="225"/>
      <c r="C36" s="270"/>
      <c r="D36" s="152"/>
      <c r="E36" s="265" t="s">
        <v>9</v>
      </c>
      <c r="F36" s="271"/>
      <c r="G36" s="271"/>
      <c r="H36" s="267">
        <f>L14+L13</f>
        <v>1800</v>
      </c>
      <c r="I36" s="268">
        <f t="shared" si="1"/>
        <v>4.8585370791794482E-3</v>
      </c>
      <c r="J36" s="272"/>
      <c r="K36" s="164" t="s">
        <v>46</v>
      </c>
      <c r="L36" s="167">
        <f>100*12</f>
        <v>1200</v>
      </c>
      <c r="M36" s="159"/>
      <c r="N36" s="209"/>
      <c r="O36" s="273"/>
      <c r="P36" s="152"/>
      <c r="Q36" s="220"/>
      <c r="R36" s="152"/>
    </row>
    <row r="37" spans="2:18" ht="20.100000000000001" customHeight="1" x14ac:dyDescent="0.3">
      <c r="B37" s="225"/>
      <c r="C37" s="270"/>
      <c r="D37" s="152"/>
      <c r="E37" s="265" t="s">
        <v>5</v>
      </c>
      <c r="F37" s="271"/>
      <c r="G37" s="271"/>
      <c r="H37" s="267">
        <f>L15</f>
        <v>8259.0938500000011</v>
      </c>
      <c r="I37" s="268">
        <f t="shared" si="1"/>
        <v>2.2292840950359973E-2</v>
      </c>
      <c r="J37" s="274"/>
      <c r="K37" s="164" t="s">
        <v>22</v>
      </c>
      <c r="L37" s="167">
        <v>3000</v>
      </c>
      <c r="M37" s="159"/>
      <c r="N37" s="275"/>
      <c r="O37" s="275"/>
      <c r="Q37" s="276"/>
    </row>
    <row r="38" spans="2:18" ht="20.100000000000001" customHeight="1" x14ac:dyDescent="0.3">
      <c r="B38" s="225"/>
      <c r="C38" s="270"/>
      <c r="D38" s="152"/>
      <c r="E38" s="265" t="s">
        <v>81</v>
      </c>
      <c r="F38" s="271"/>
      <c r="G38" s="271"/>
      <c r="H38" s="267">
        <f>L18</f>
        <v>0</v>
      </c>
      <c r="I38" s="268">
        <f t="shared" si="1"/>
        <v>0</v>
      </c>
      <c r="J38" s="274"/>
      <c r="K38" s="164" t="s">
        <v>0</v>
      </c>
      <c r="L38" s="167">
        <f>SUM(L6:L37)</f>
        <v>51009.109644957563</v>
      </c>
      <c r="M38" s="159"/>
      <c r="N38" s="275"/>
      <c r="O38" s="275"/>
      <c r="Q38" s="276"/>
    </row>
    <row r="39" spans="2:18" ht="20.100000000000001" customHeight="1" thickBot="1" x14ac:dyDescent="0.35">
      <c r="B39" s="225"/>
      <c r="C39" s="226"/>
      <c r="D39" s="277"/>
      <c r="E39" s="265" t="s">
        <v>82</v>
      </c>
      <c r="F39" s="271"/>
      <c r="G39" s="271"/>
      <c r="H39" s="267">
        <v>0</v>
      </c>
      <c r="I39" s="268">
        <f t="shared" si="1"/>
        <v>0</v>
      </c>
      <c r="J39" s="274"/>
      <c r="K39" s="278" t="s">
        <v>4</v>
      </c>
      <c r="L39" s="279">
        <f>L38/C10</f>
        <v>2.8851306360270117</v>
      </c>
      <c r="M39" s="159"/>
      <c r="N39" s="275"/>
      <c r="O39" s="275"/>
      <c r="Q39" s="276"/>
    </row>
    <row r="40" spans="2:18" ht="20.100000000000001" customHeight="1" thickBot="1" x14ac:dyDescent="0.35">
      <c r="B40" s="225"/>
      <c r="C40" s="270"/>
      <c r="D40" s="277"/>
      <c r="E40" s="265" t="s">
        <v>77</v>
      </c>
      <c r="F40" s="271"/>
      <c r="G40" s="271"/>
      <c r="H40" s="267">
        <f>L8+L27+L35</f>
        <v>14650.401602957569</v>
      </c>
      <c r="I40" s="268">
        <f t="shared" si="1"/>
        <v>3.9544177451577428E-2</v>
      </c>
      <c r="J40" s="274"/>
      <c r="K40" s="232"/>
      <c r="L40" s="276"/>
      <c r="M40" s="159"/>
      <c r="N40" s="275"/>
      <c r="O40" s="275"/>
      <c r="P40" s="275"/>
      <c r="R40" s="276"/>
    </row>
    <row r="41" spans="2:18" ht="20.100000000000001" customHeight="1" x14ac:dyDescent="0.3">
      <c r="D41" s="277"/>
      <c r="E41" s="265" t="s">
        <v>189</v>
      </c>
      <c r="F41" s="271"/>
      <c r="G41" s="271"/>
      <c r="H41" s="281">
        <f>L29+L30+L31+L32+L33+L28</f>
        <v>1050.0899999999999</v>
      </c>
      <c r="I41" s="268">
        <f t="shared" si="1"/>
        <v>2.8343895563753036E-3</v>
      </c>
      <c r="J41" s="274"/>
      <c r="K41" s="144" t="s">
        <v>45</v>
      </c>
      <c r="L41" s="282"/>
      <c r="M41" s="282"/>
      <c r="N41" s="282"/>
      <c r="O41" s="145"/>
      <c r="P41" s="159"/>
    </row>
    <row r="42" spans="2:18" ht="20.100000000000001" customHeight="1" thickBot="1" x14ac:dyDescent="0.35">
      <c r="E42" s="265" t="s">
        <v>37</v>
      </c>
      <c r="F42" s="271"/>
      <c r="G42" s="271"/>
      <c r="H42" s="267">
        <f>L25</f>
        <v>2182</v>
      </c>
      <c r="I42" s="268">
        <f t="shared" si="1"/>
        <v>5.8896266148719756E-3</v>
      </c>
      <c r="J42" s="274"/>
      <c r="K42" s="283" t="s">
        <v>98</v>
      </c>
      <c r="L42" s="284" t="s">
        <v>42</v>
      </c>
      <c r="M42" s="284" t="s">
        <v>99</v>
      </c>
      <c r="N42" s="284" t="s">
        <v>163</v>
      </c>
      <c r="O42" s="285" t="s">
        <v>164</v>
      </c>
      <c r="P42" s="159"/>
    </row>
    <row r="43" spans="2:18" ht="20.100000000000001" customHeight="1" x14ac:dyDescent="0.3">
      <c r="E43" s="265" t="s">
        <v>83</v>
      </c>
      <c r="F43" s="271"/>
      <c r="G43" s="271"/>
      <c r="H43" s="267">
        <f>L26+L24</f>
        <v>2000</v>
      </c>
      <c r="I43" s="268">
        <f t="shared" si="1"/>
        <v>5.3983745324216095E-3</v>
      </c>
      <c r="J43" s="274"/>
      <c r="K43" s="286" t="s">
        <v>68</v>
      </c>
      <c r="L43" s="287">
        <v>9</v>
      </c>
      <c r="M43" s="288">
        <v>480</v>
      </c>
      <c r="N43" s="289">
        <f>L43*M43</f>
        <v>4320</v>
      </c>
      <c r="O43" s="167">
        <f>(PMT(0.08/12,12*3,-N43)*12)</f>
        <v>1624.4771855205754</v>
      </c>
      <c r="P43" s="159"/>
    </row>
    <row r="44" spans="2:18" ht="20.100000000000001" customHeight="1" x14ac:dyDescent="0.3">
      <c r="E44" s="265" t="s">
        <v>22</v>
      </c>
      <c r="F44" s="271"/>
      <c r="G44" s="271"/>
      <c r="H44" s="267">
        <f>L37</f>
        <v>3000</v>
      </c>
      <c r="I44" s="268">
        <f t="shared" si="1"/>
        <v>8.0975617986324133E-3</v>
      </c>
      <c r="J44" s="274"/>
      <c r="K44" s="286" t="s">
        <v>166</v>
      </c>
      <c r="L44" s="290">
        <v>1</v>
      </c>
      <c r="M44" s="291">
        <v>6300</v>
      </c>
      <c r="N44" s="292">
        <f>L44*M44</f>
        <v>6300</v>
      </c>
      <c r="O44" s="167">
        <f>(PMT(0.08/12,12*3,-N44)*12)</f>
        <v>2369.029228884172</v>
      </c>
      <c r="P44" s="159"/>
    </row>
    <row r="45" spans="2:18" ht="20.100000000000001" customHeight="1" x14ac:dyDescent="0.3">
      <c r="E45" s="265" t="s">
        <v>190</v>
      </c>
      <c r="F45" s="271"/>
      <c r="G45" s="271"/>
      <c r="H45" s="267">
        <f>L6+L7+L36</f>
        <v>13408</v>
      </c>
      <c r="I45" s="268">
        <f t="shared" si="1"/>
        <v>3.6190702865354467E-2</v>
      </c>
      <c r="J45" s="274"/>
      <c r="K45" s="286" t="s">
        <v>80</v>
      </c>
      <c r="L45" s="290">
        <v>1</v>
      </c>
      <c r="M45" s="293">
        <v>3400</v>
      </c>
      <c r="N45" s="292">
        <f t="shared" ref="N45:N50" si="2">L45*M45</f>
        <v>3400</v>
      </c>
      <c r="O45" s="167">
        <f>(PMT(0.08/12,12*3,-N45)*12)</f>
        <v>1278.5237108263786</v>
      </c>
      <c r="P45" s="159"/>
    </row>
    <row r="46" spans="2:18" ht="20.100000000000001" customHeight="1" x14ac:dyDescent="0.3">
      <c r="E46" s="265" t="s">
        <v>154</v>
      </c>
      <c r="F46" s="271"/>
      <c r="G46" s="271"/>
      <c r="H46" s="267">
        <f>SUM(H32:H45)*0.085</f>
        <v>29023.926870721396</v>
      </c>
      <c r="I46" s="268">
        <f t="shared" si="1"/>
        <v>7.83410138248848E-2</v>
      </c>
      <c r="J46" s="274"/>
      <c r="K46" s="286" t="s">
        <v>165</v>
      </c>
      <c r="L46" s="290">
        <v>5</v>
      </c>
      <c r="M46" s="293">
        <v>313</v>
      </c>
      <c r="N46" s="292">
        <f t="shared" si="2"/>
        <v>1565</v>
      </c>
      <c r="O46" s="167">
        <f t="shared" ref="O46:O50" si="3">(PMT(0.08/12,12*3,-N46)*12)</f>
        <v>588.49694336567131</v>
      </c>
      <c r="P46" s="159"/>
    </row>
    <row r="47" spans="2:18" ht="20.100000000000001" customHeight="1" thickBot="1" x14ac:dyDescent="0.35">
      <c r="E47" s="294"/>
      <c r="F47" s="295"/>
      <c r="G47" s="295"/>
      <c r="H47" s="296"/>
      <c r="I47" s="297"/>
      <c r="J47" s="274"/>
      <c r="K47" s="164" t="s">
        <v>149</v>
      </c>
      <c r="L47" s="298">
        <v>3</v>
      </c>
      <c r="M47" s="293">
        <v>736</v>
      </c>
      <c r="N47" s="292">
        <f t="shared" si="2"/>
        <v>2208</v>
      </c>
      <c r="O47" s="167">
        <f t="shared" si="3"/>
        <v>830.28833926607172</v>
      </c>
      <c r="P47" s="159"/>
    </row>
    <row r="48" spans="2:18" ht="20.100000000000001" customHeight="1" thickBot="1" x14ac:dyDescent="0.35">
      <c r="C48" s="299"/>
      <c r="E48" s="300" t="s">
        <v>71</v>
      </c>
      <c r="F48" s="301"/>
      <c r="G48" s="301"/>
      <c r="H48" s="302">
        <f>SUM(H32:H47)</f>
        <v>370481.89005567896</v>
      </c>
      <c r="I48" s="303">
        <f>SUM(I32:I47)</f>
        <v>1.0000000000000002</v>
      </c>
      <c r="J48" s="274"/>
      <c r="K48" s="164" t="s">
        <v>151</v>
      </c>
      <c r="L48" s="298">
        <v>2</v>
      </c>
      <c r="M48" s="293">
        <v>6640</v>
      </c>
      <c r="N48" s="292">
        <f t="shared" si="2"/>
        <v>13280</v>
      </c>
      <c r="O48" s="167">
        <f>(PMT(0.08/12,12*3,-N48)*12)</f>
        <v>4993.7631999336209</v>
      </c>
      <c r="P48" s="159"/>
    </row>
    <row r="49" spans="3:15" x14ac:dyDescent="0.3">
      <c r="C49" s="109"/>
      <c r="J49" s="274"/>
      <c r="K49" s="164" t="s">
        <v>66</v>
      </c>
      <c r="L49" s="298">
        <v>1</v>
      </c>
      <c r="M49" s="293">
        <v>2230</v>
      </c>
      <c r="N49" s="292">
        <f t="shared" si="2"/>
        <v>2230</v>
      </c>
      <c r="O49" s="167">
        <f>(PMT(0.08/12,12*3,-N49)*12)</f>
        <v>838.56113974788957</v>
      </c>
    </row>
    <row r="50" spans="3:15" ht="17.25" thickBot="1" x14ac:dyDescent="0.35">
      <c r="C50" s="109"/>
      <c r="I50" s="304"/>
      <c r="J50" s="274"/>
      <c r="K50" s="203" t="s">
        <v>150</v>
      </c>
      <c r="L50" s="305">
        <v>1</v>
      </c>
      <c r="M50" s="306">
        <v>1700</v>
      </c>
      <c r="N50" s="292">
        <f t="shared" si="2"/>
        <v>1700</v>
      </c>
      <c r="O50" s="167">
        <f t="shared" si="3"/>
        <v>639.26185541318932</v>
      </c>
    </row>
    <row r="51" spans="3:15" ht="17.25" thickBot="1" x14ac:dyDescent="0.35">
      <c r="C51" s="109"/>
      <c r="J51" s="168"/>
      <c r="K51" s="307" t="s">
        <v>48</v>
      </c>
      <c r="L51" s="308"/>
      <c r="M51" s="309"/>
      <c r="N51" s="310">
        <f>SUM(N43:N50)</f>
        <v>35003</v>
      </c>
      <c r="O51" s="311">
        <f>SUM(O43:O50)</f>
        <v>13162.401602957569</v>
      </c>
    </row>
    <row r="52" spans="3:15" x14ac:dyDescent="0.3">
      <c r="C52" s="109"/>
      <c r="J52" s="312"/>
      <c r="N52" s="159"/>
      <c r="O52" s="159"/>
    </row>
    <row r="53" spans="3:15" x14ac:dyDescent="0.3">
      <c r="C53" s="109"/>
      <c r="L53" s="109"/>
      <c r="M53" s="109"/>
      <c r="N53" s="159"/>
    </row>
    <row r="54" spans="3:15" x14ac:dyDescent="0.3">
      <c r="J54" s="313"/>
      <c r="L54" s="109"/>
      <c r="M54" s="109"/>
      <c r="O54" s="109"/>
    </row>
    <row r="55" spans="3:15" x14ac:dyDescent="0.3">
      <c r="L55" s="109"/>
      <c r="M55" s="109"/>
      <c r="N55" s="109"/>
      <c r="O55" s="109"/>
    </row>
    <row r="56" spans="3:15" x14ac:dyDescent="0.3">
      <c r="L56" s="109"/>
      <c r="M56" s="109"/>
      <c r="N56" s="109"/>
      <c r="O56" s="109"/>
    </row>
    <row r="57" spans="3:15" x14ac:dyDescent="0.3">
      <c r="L57" s="109"/>
      <c r="M57" s="109"/>
      <c r="N57" s="109"/>
      <c r="O57" s="109"/>
    </row>
    <row r="58" spans="3:15" x14ac:dyDescent="0.3">
      <c r="L58" s="109"/>
      <c r="M58" s="109"/>
      <c r="N58" s="109"/>
      <c r="O58" s="109"/>
    </row>
    <row r="59" spans="3:15" x14ac:dyDescent="0.3">
      <c r="N59" s="109"/>
      <c r="O59" s="109"/>
    </row>
    <row r="60" spans="3:15" x14ac:dyDescent="0.3">
      <c r="N60" s="109"/>
    </row>
  </sheetData>
  <mergeCells count="15">
    <mergeCell ref="N5:O5"/>
    <mergeCell ref="K51:M51"/>
    <mergeCell ref="B1:F1"/>
    <mergeCell ref="B2:F2"/>
    <mergeCell ref="E3:H3"/>
    <mergeCell ref="B5:C5"/>
    <mergeCell ref="K5:L5"/>
    <mergeCell ref="K41:O41"/>
    <mergeCell ref="B13:C13"/>
    <mergeCell ref="N25:O25"/>
    <mergeCell ref="E26:G26"/>
    <mergeCell ref="E27:G27"/>
    <mergeCell ref="E29:I30"/>
    <mergeCell ref="E31:G31"/>
    <mergeCell ref="N34:O34"/>
  </mergeCells>
  <pageMargins left="0.5" right="0.5" top="0.5" bottom="0.5" header="0.3" footer="0.3"/>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tabSelected="1" workbookViewId="0"/>
  </sheetViews>
  <sheetFormatPr defaultRowHeight="16.5" x14ac:dyDescent="0.3"/>
  <cols>
    <col min="1" max="1" width="9" style="109"/>
    <col min="2" max="2" width="11" style="109" bestFit="1" customWidth="1"/>
    <col min="3" max="5" width="15.75" style="109" customWidth="1"/>
    <col min="6" max="6" width="12.375" style="109" customWidth="1"/>
    <col min="7" max="16384" width="9" style="109"/>
  </cols>
  <sheetData>
    <row r="1" spans="1:6" ht="17.25" thickBot="1" x14ac:dyDescent="0.35">
      <c r="A1" s="106"/>
      <c r="B1" s="108" t="s">
        <v>167</v>
      </c>
      <c r="C1" s="103"/>
      <c r="D1" s="104"/>
      <c r="E1" s="103"/>
      <c r="F1" s="104"/>
    </row>
    <row r="2" spans="1:6" ht="17.25" thickBot="1" x14ac:dyDescent="0.35">
      <c r="A2" s="9"/>
      <c r="B2" s="78"/>
      <c r="C2" s="110" t="s">
        <v>137</v>
      </c>
      <c r="D2" s="110" t="s">
        <v>135</v>
      </c>
      <c r="E2" s="110" t="s">
        <v>136</v>
      </c>
      <c r="F2" s="111" t="s">
        <v>48</v>
      </c>
    </row>
    <row r="3" spans="1:6" x14ac:dyDescent="0.3">
      <c r="A3" s="9"/>
      <c r="B3" s="112" t="s">
        <v>50</v>
      </c>
      <c r="C3" s="113">
        <f>'Deployment - Based on 340'!L4+'Deployment - Based on 340'!L5+'Deployment - Based on 340'!L14+'Deployment - Based on 340'!L15+'Deployment - Based on 340'!L24</f>
        <v>240</v>
      </c>
      <c r="D3" s="113">
        <f>('Deployment - Based on 340'!L7+'Deployment - Based on 340'!L17)</f>
        <v>60</v>
      </c>
      <c r="E3" s="114">
        <f>'Deployment - Based on 340'!L9+'Deployment - Based on 340'!L19</f>
        <v>40</v>
      </c>
      <c r="F3" s="115">
        <f>SUM(C3:E3)</f>
        <v>340</v>
      </c>
    </row>
    <row r="4" spans="1:6" x14ac:dyDescent="0.3">
      <c r="A4" s="9"/>
      <c r="B4" s="116" t="s">
        <v>51</v>
      </c>
      <c r="C4" s="117">
        <f>C3*52</f>
        <v>12480</v>
      </c>
      <c r="D4" s="117">
        <f>D3*52</f>
        <v>3120</v>
      </c>
      <c r="E4" s="118">
        <f>E3*52</f>
        <v>2080</v>
      </c>
      <c r="F4" s="119">
        <f>F3*52</f>
        <v>17680</v>
      </c>
    </row>
    <row r="5" spans="1:6" ht="17.25" thickBot="1" x14ac:dyDescent="0.35">
      <c r="A5" s="9"/>
      <c r="B5" s="120" t="s">
        <v>138</v>
      </c>
      <c r="C5" s="121">
        <f>C4*'Detail YR 1 - Based on 340'!F20</f>
        <v>232309.40960079458</v>
      </c>
      <c r="D5" s="121">
        <f>D4*'Detail YR 1 - Based on 340'!G20</f>
        <v>67825.012400198641</v>
      </c>
      <c r="E5" s="122">
        <f>E4*'Detail YR 1 - Based on 340'!H20</f>
        <v>65836.724933465754</v>
      </c>
      <c r="F5" s="123">
        <f>SUM(C5:E5)</f>
        <v>365971.14693445899</v>
      </c>
    </row>
    <row r="8" spans="1:6" ht="17.25" thickBot="1" x14ac:dyDescent="0.35">
      <c r="B8" s="108" t="s">
        <v>168</v>
      </c>
      <c r="C8" s="103"/>
      <c r="D8" s="104"/>
      <c r="E8" s="103"/>
      <c r="F8" s="104"/>
    </row>
    <row r="9" spans="1:6" ht="17.25" thickBot="1" x14ac:dyDescent="0.35">
      <c r="B9" s="78"/>
      <c r="C9" s="110" t="s">
        <v>137</v>
      </c>
      <c r="D9" s="110" t="s">
        <v>135</v>
      </c>
      <c r="E9" s="110" t="s">
        <v>136</v>
      </c>
      <c r="F9" s="111" t="s">
        <v>48</v>
      </c>
    </row>
    <row r="10" spans="1:6" x14ac:dyDescent="0.3">
      <c r="B10" s="112" t="s">
        <v>50</v>
      </c>
      <c r="C10" s="113">
        <f>C3</f>
        <v>240</v>
      </c>
      <c r="D10" s="113">
        <f>D3</f>
        <v>60</v>
      </c>
      <c r="E10" s="114">
        <f>E3</f>
        <v>40</v>
      </c>
      <c r="F10" s="115">
        <f>SUM(C10:E10)</f>
        <v>340</v>
      </c>
    </row>
    <row r="11" spans="1:6" x14ac:dyDescent="0.3">
      <c r="B11" s="116" t="s">
        <v>51</v>
      </c>
      <c r="C11" s="117">
        <f>C10*52</f>
        <v>12480</v>
      </c>
      <c r="D11" s="117">
        <f>D10*52</f>
        <v>3120</v>
      </c>
      <c r="E11" s="118">
        <f>E10*52</f>
        <v>2080</v>
      </c>
      <c r="F11" s="119">
        <f>F10*52</f>
        <v>17680</v>
      </c>
    </row>
    <row r="12" spans="1:6" ht="17.25" thickBot="1" x14ac:dyDescent="0.35">
      <c r="B12" s="120" t="s">
        <v>138</v>
      </c>
      <c r="C12" s="121">
        <f>C11*'Detail YR 2 - Based on 340'!F20</f>
        <v>240607.23596871458</v>
      </c>
      <c r="D12" s="121">
        <f>D11*'Detail YR 2 - Based on 340'!G20</f>
        <v>62101.340992178652</v>
      </c>
      <c r="E12" s="122">
        <f>E11*'Detail YR 2 - Based on 340'!H20</f>
        <v>67773.313094785757</v>
      </c>
      <c r="F12" s="123">
        <f>SUM(C12:E12)</f>
        <v>370481.89005567902</v>
      </c>
    </row>
  </sheetData>
  <pageMargins left="0.7" right="0.7" top="0.75" bottom="0.75" header="0.3" footer="0.3"/>
  <pageSetup orientation="portrait" r:id="rId1"/>
  <ignoredErrors>
    <ignoredError sqref="F4 F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2"/>
  <sheetViews>
    <sheetView showGridLines="0" tabSelected="1" workbookViewId="0"/>
  </sheetViews>
  <sheetFormatPr defaultColWidth="11" defaultRowHeight="15" x14ac:dyDescent="0.25"/>
  <cols>
    <col min="1" max="1" width="2" style="1" customWidth="1"/>
    <col min="2" max="2" width="20.25" style="1" customWidth="1"/>
    <col min="3" max="3" width="11" style="1"/>
    <col min="4" max="4" width="14.875" style="1" customWidth="1"/>
    <col min="5" max="13" width="7.625" style="1" customWidth="1"/>
    <col min="14" max="16384" width="11" style="1"/>
  </cols>
  <sheetData>
    <row r="2" spans="2:13" ht="15.75" thickBot="1" x14ac:dyDescent="0.3">
      <c r="B2" s="3" t="s">
        <v>139</v>
      </c>
      <c r="C2" s="3"/>
    </row>
    <row r="3" spans="2:13" s="4" customFormat="1" ht="20.100000000000001" customHeight="1" thickBot="1" x14ac:dyDescent="0.3">
      <c r="B3" s="78" t="s">
        <v>53</v>
      </c>
      <c r="C3" s="79" t="s">
        <v>55</v>
      </c>
      <c r="D3" s="79" t="s">
        <v>89</v>
      </c>
      <c r="E3" s="79" t="s">
        <v>79</v>
      </c>
      <c r="F3" s="79" t="s">
        <v>56</v>
      </c>
      <c r="G3" s="79" t="s">
        <v>57</v>
      </c>
      <c r="H3" s="79" t="s">
        <v>58</v>
      </c>
      <c r="I3" s="79" t="s">
        <v>59</v>
      </c>
      <c r="J3" s="79" t="s">
        <v>60</v>
      </c>
      <c r="K3" s="80" t="s">
        <v>78</v>
      </c>
      <c r="L3" s="81" t="s">
        <v>0</v>
      </c>
    </row>
    <row r="4" spans="2:13" s="9" customFormat="1" ht="20.100000000000001" customHeight="1" x14ac:dyDescent="0.25">
      <c r="B4" s="82" t="s">
        <v>131</v>
      </c>
      <c r="C4" s="83" t="s">
        <v>133</v>
      </c>
      <c r="D4" s="83" t="s">
        <v>172</v>
      </c>
      <c r="E4" s="84">
        <v>8</v>
      </c>
      <c r="F4" s="83">
        <v>8</v>
      </c>
      <c r="G4" s="83">
        <v>8</v>
      </c>
      <c r="H4" s="83">
        <v>8</v>
      </c>
      <c r="I4" s="83"/>
      <c r="J4" s="83">
        <v>8</v>
      </c>
      <c r="K4" s="83">
        <v>8</v>
      </c>
      <c r="L4" s="85">
        <f t="shared" ref="L4" si="0">SUM(E4:K4)</f>
        <v>48</v>
      </c>
    </row>
    <row r="5" spans="2:13" s="9" customFormat="1" ht="20.100000000000001" customHeight="1" x14ac:dyDescent="0.25">
      <c r="B5" s="86"/>
      <c r="C5" s="83" t="s">
        <v>134</v>
      </c>
      <c r="D5" s="83" t="s">
        <v>173</v>
      </c>
      <c r="E5" s="84">
        <v>8</v>
      </c>
      <c r="F5" s="83">
        <v>8</v>
      </c>
      <c r="G5" s="83"/>
      <c r="H5" s="83">
        <v>8</v>
      </c>
      <c r="I5" s="83">
        <v>8</v>
      </c>
      <c r="J5" s="83">
        <v>8</v>
      </c>
      <c r="K5" s="83">
        <v>8</v>
      </c>
      <c r="L5" s="85">
        <f t="shared" ref="L5" si="1">SUM(E5:K5)</f>
        <v>48</v>
      </c>
    </row>
    <row r="6" spans="2:13" s="9" customFormat="1" ht="20.100000000000001" customHeight="1" x14ac:dyDescent="0.25">
      <c r="B6" s="87"/>
      <c r="C6" s="88"/>
      <c r="D6" s="88"/>
      <c r="E6" s="89"/>
      <c r="F6" s="88"/>
      <c r="G6" s="88"/>
      <c r="H6" s="88"/>
      <c r="I6" s="88"/>
      <c r="J6" s="88"/>
      <c r="K6" s="88"/>
      <c r="L6" s="90"/>
    </row>
    <row r="7" spans="2:13" s="9" customFormat="1" ht="20.100000000000001" customHeight="1" x14ac:dyDescent="0.25">
      <c r="B7" s="91" t="s">
        <v>135</v>
      </c>
      <c r="C7" s="83" t="s">
        <v>132</v>
      </c>
      <c r="D7" s="83" t="s">
        <v>87</v>
      </c>
      <c r="E7" s="84"/>
      <c r="F7" s="83"/>
      <c r="G7" s="83">
        <v>6</v>
      </c>
      <c r="H7" s="83">
        <v>6</v>
      </c>
      <c r="I7" s="83">
        <v>6</v>
      </c>
      <c r="J7" s="83">
        <v>6</v>
      </c>
      <c r="K7" s="83">
        <v>6</v>
      </c>
      <c r="L7" s="85">
        <f t="shared" ref="L7" si="2">SUM(E7:K7)</f>
        <v>30</v>
      </c>
    </row>
    <row r="8" spans="2:13" s="9" customFormat="1" ht="20.100000000000001" customHeight="1" x14ac:dyDescent="0.25">
      <c r="B8" s="87"/>
      <c r="C8" s="92"/>
      <c r="D8" s="92"/>
      <c r="E8" s="89"/>
      <c r="F8" s="88"/>
      <c r="G8" s="88"/>
      <c r="H8" s="88"/>
      <c r="I8" s="88"/>
      <c r="J8" s="88"/>
      <c r="K8" s="88"/>
      <c r="L8" s="90"/>
    </row>
    <row r="9" spans="2:13" s="9" customFormat="1" ht="20.100000000000001" customHeight="1" x14ac:dyDescent="0.25">
      <c r="B9" s="93" t="s">
        <v>136</v>
      </c>
      <c r="C9" s="94"/>
      <c r="D9" s="83"/>
      <c r="E9" s="84"/>
      <c r="F9" s="83">
        <v>4</v>
      </c>
      <c r="G9" s="83">
        <v>4</v>
      </c>
      <c r="H9" s="83">
        <v>4</v>
      </c>
      <c r="I9" s="83">
        <v>4</v>
      </c>
      <c r="J9" s="83">
        <v>4</v>
      </c>
      <c r="K9" s="83"/>
      <c r="L9" s="85">
        <f>SUM(F9:K9)</f>
        <v>20</v>
      </c>
    </row>
    <row r="10" spans="2:13" s="9" customFormat="1" ht="20.100000000000001" customHeight="1" thickBot="1" x14ac:dyDescent="0.3">
      <c r="B10" s="95"/>
      <c r="C10" s="96"/>
      <c r="D10" s="97"/>
      <c r="E10" s="98"/>
      <c r="F10" s="99">
        <f t="shared" ref="F10:L10" si="3">SUM(F4:F9)</f>
        <v>20</v>
      </c>
      <c r="G10" s="99">
        <f t="shared" si="3"/>
        <v>18</v>
      </c>
      <c r="H10" s="99">
        <f t="shared" si="3"/>
        <v>26</v>
      </c>
      <c r="I10" s="99">
        <f t="shared" si="3"/>
        <v>18</v>
      </c>
      <c r="J10" s="99">
        <f t="shared" si="3"/>
        <v>26</v>
      </c>
      <c r="K10" s="99">
        <f t="shared" si="3"/>
        <v>22</v>
      </c>
      <c r="L10" s="100">
        <f t="shared" si="3"/>
        <v>146</v>
      </c>
    </row>
    <row r="11" spans="2:13" s="9" customFormat="1" ht="20.100000000000001" customHeight="1" x14ac:dyDescent="0.25">
      <c r="B11" s="101"/>
      <c r="C11" s="101"/>
      <c r="M11" s="102"/>
    </row>
    <row r="12" spans="2:13" ht="15.75" thickBot="1" x14ac:dyDescent="0.3">
      <c r="B12" s="3" t="s">
        <v>140</v>
      </c>
      <c r="C12" s="3"/>
    </row>
    <row r="13" spans="2:13" s="4" customFormat="1" ht="20.100000000000001" customHeight="1" thickBot="1" x14ac:dyDescent="0.3">
      <c r="B13" s="78" t="s">
        <v>53</v>
      </c>
      <c r="C13" s="79" t="s">
        <v>55</v>
      </c>
      <c r="D13" s="79" t="s">
        <v>89</v>
      </c>
      <c r="E13" s="79" t="s">
        <v>79</v>
      </c>
      <c r="F13" s="79" t="s">
        <v>56</v>
      </c>
      <c r="G13" s="79" t="s">
        <v>57</v>
      </c>
      <c r="H13" s="79" t="s">
        <v>58</v>
      </c>
      <c r="I13" s="79" t="s">
        <v>59</v>
      </c>
      <c r="J13" s="79" t="s">
        <v>60</v>
      </c>
      <c r="K13" s="80" t="s">
        <v>78</v>
      </c>
      <c r="L13" s="81" t="s">
        <v>0</v>
      </c>
    </row>
    <row r="14" spans="2:13" s="9" customFormat="1" ht="20.100000000000001" customHeight="1" x14ac:dyDescent="0.25">
      <c r="B14" s="82" t="s">
        <v>131</v>
      </c>
      <c r="C14" s="83" t="s">
        <v>134</v>
      </c>
      <c r="D14" s="83" t="s">
        <v>172</v>
      </c>
      <c r="E14" s="84">
        <v>8</v>
      </c>
      <c r="F14" s="83">
        <v>8</v>
      </c>
      <c r="G14" s="83">
        <v>8</v>
      </c>
      <c r="H14" s="83"/>
      <c r="I14" s="83">
        <v>8</v>
      </c>
      <c r="J14" s="83">
        <v>8</v>
      </c>
      <c r="K14" s="83">
        <v>8</v>
      </c>
      <c r="L14" s="85">
        <f t="shared" ref="L14:L15" si="4">SUM(E14:K14)</f>
        <v>48</v>
      </c>
    </row>
    <row r="15" spans="2:13" s="9" customFormat="1" ht="20.100000000000001" customHeight="1" x14ac:dyDescent="0.25">
      <c r="B15" s="86"/>
      <c r="C15" s="83" t="s">
        <v>141</v>
      </c>
      <c r="D15" s="83" t="s">
        <v>173</v>
      </c>
      <c r="E15" s="84">
        <v>8</v>
      </c>
      <c r="F15" s="83">
        <v>8</v>
      </c>
      <c r="G15" s="83"/>
      <c r="H15" s="83">
        <v>8</v>
      </c>
      <c r="I15" s="83">
        <v>8</v>
      </c>
      <c r="J15" s="83">
        <v>8</v>
      </c>
      <c r="K15" s="83">
        <v>8</v>
      </c>
      <c r="L15" s="85">
        <f t="shared" si="4"/>
        <v>48</v>
      </c>
    </row>
    <row r="16" spans="2:13" s="9" customFormat="1" ht="20.100000000000001" customHeight="1" x14ac:dyDescent="0.25">
      <c r="B16" s="87"/>
      <c r="C16" s="88"/>
      <c r="D16" s="88"/>
      <c r="E16" s="89"/>
      <c r="F16" s="88"/>
      <c r="G16" s="88"/>
      <c r="H16" s="88"/>
      <c r="I16" s="88"/>
      <c r="J16" s="88"/>
      <c r="K16" s="88"/>
      <c r="L16" s="90"/>
    </row>
    <row r="17" spans="2:12" s="9" customFormat="1" ht="20.100000000000001" customHeight="1" x14ac:dyDescent="0.25">
      <c r="B17" s="91" t="s">
        <v>135</v>
      </c>
      <c r="C17" s="83" t="s">
        <v>132</v>
      </c>
      <c r="D17" s="83" t="s">
        <v>87</v>
      </c>
      <c r="E17" s="84"/>
      <c r="F17" s="83"/>
      <c r="G17" s="83">
        <v>6</v>
      </c>
      <c r="H17" s="83">
        <v>6</v>
      </c>
      <c r="I17" s="83">
        <v>6</v>
      </c>
      <c r="J17" s="83">
        <v>6</v>
      </c>
      <c r="K17" s="83">
        <v>6</v>
      </c>
      <c r="L17" s="85">
        <f t="shared" ref="L17" si="5">SUM(E17:K17)</f>
        <v>30</v>
      </c>
    </row>
    <row r="18" spans="2:12" s="9" customFormat="1" ht="20.100000000000001" customHeight="1" x14ac:dyDescent="0.25">
      <c r="B18" s="87"/>
      <c r="C18" s="92"/>
      <c r="D18" s="92"/>
      <c r="E18" s="89"/>
      <c r="F18" s="88"/>
      <c r="G18" s="88"/>
      <c r="H18" s="88"/>
      <c r="I18" s="88"/>
      <c r="J18" s="88"/>
      <c r="K18" s="88"/>
      <c r="L18" s="90"/>
    </row>
    <row r="19" spans="2:12" s="9" customFormat="1" ht="20.100000000000001" customHeight="1" x14ac:dyDescent="0.25">
      <c r="B19" s="93" t="s">
        <v>136</v>
      </c>
      <c r="C19" s="94"/>
      <c r="D19" s="83"/>
      <c r="E19" s="84"/>
      <c r="F19" s="83">
        <v>4</v>
      </c>
      <c r="G19" s="83">
        <v>4</v>
      </c>
      <c r="H19" s="83">
        <v>4</v>
      </c>
      <c r="I19" s="83">
        <v>4</v>
      </c>
      <c r="J19" s="83">
        <v>4</v>
      </c>
      <c r="K19" s="83"/>
      <c r="L19" s="85">
        <f>SUM(F19:K19)</f>
        <v>20</v>
      </c>
    </row>
    <row r="20" spans="2:12" s="9" customFormat="1" ht="20.100000000000001" customHeight="1" thickBot="1" x14ac:dyDescent="0.3">
      <c r="B20" s="95"/>
      <c r="C20" s="96"/>
      <c r="D20" s="97"/>
      <c r="E20" s="98"/>
      <c r="F20" s="99">
        <f t="shared" ref="F20:L20" si="6">SUM(F14:F19)</f>
        <v>20</v>
      </c>
      <c r="G20" s="99">
        <f t="shared" si="6"/>
        <v>18</v>
      </c>
      <c r="H20" s="99">
        <f t="shared" si="6"/>
        <v>18</v>
      </c>
      <c r="I20" s="99">
        <f t="shared" si="6"/>
        <v>26</v>
      </c>
      <c r="J20" s="99">
        <f t="shared" si="6"/>
        <v>26</v>
      </c>
      <c r="K20" s="99">
        <f t="shared" si="6"/>
        <v>22</v>
      </c>
      <c r="L20" s="100">
        <f t="shared" si="6"/>
        <v>146</v>
      </c>
    </row>
    <row r="21" spans="2:12" s="106" customFormat="1" ht="20.100000000000001" customHeight="1" x14ac:dyDescent="0.25">
      <c r="B21" s="103"/>
      <c r="C21" s="103"/>
      <c r="D21" s="104"/>
      <c r="E21" s="103"/>
      <c r="F21" s="104"/>
      <c r="G21" s="104"/>
      <c r="H21" s="104"/>
      <c r="I21" s="104"/>
      <c r="J21" s="104"/>
      <c r="K21" s="104"/>
      <c r="L21" s="105"/>
    </row>
    <row r="22" spans="2:12" ht="15.75" thickBot="1" x14ac:dyDescent="0.3">
      <c r="B22" s="3" t="s">
        <v>142</v>
      </c>
      <c r="C22" s="3"/>
    </row>
    <row r="23" spans="2:12" s="4" customFormat="1" ht="20.100000000000001" customHeight="1" thickBot="1" x14ac:dyDescent="0.3">
      <c r="B23" s="78" t="s">
        <v>53</v>
      </c>
      <c r="C23" s="79" t="s">
        <v>55</v>
      </c>
      <c r="D23" s="79" t="s">
        <v>89</v>
      </c>
      <c r="E23" s="79" t="s">
        <v>79</v>
      </c>
      <c r="F23" s="79" t="s">
        <v>56</v>
      </c>
      <c r="G23" s="79" t="s">
        <v>57</v>
      </c>
      <c r="H23" s="79" t="s">
        <v>58</v>
      </c>
      <c r="I23" s="79" t="s">
        <v>59</v>
      </c>
      <c r="J23" s="79" t="s">
        <v>60</v>
      </c>
      <c r="K23" s="80" t="s">
        <v>78</v>
      </c>
      <c r="L23" s="81" t="s">
        <v>0</v>
      </c>
    </row>
    <row r="24" spans="2:12" s="9" customFormat="1" ht="20.100000000000001" customHeight="1" x14ac:dyDescent="0.25">
      <c r="B24" s="82" t="s">
        <v>131</v>
      </c>
      <c r="C24" s="83" t="s">
        <v>88</v>
      </c>
      <c r="D24" s="83" t="s">
        <v>143</v>
      </c>
      <c r="E24" s="84"/>
      <c r="F24" s="83">
        <v>8</v>
      </c>
      <c r="G24" s="83">
        <v>8</v>
      </c>
      <c r="H24" s="83">
        <v>8</v>
      </c>
      <c r="I24" s="83">
        <v>8</v>
      </c>
      <c r="J24" s="83">
        <v>8</v>
      </c>
      <c r="K24" s="83">
        <v>8</v>
      </c>
      <c r="L24" s="85">
        <f t="shared" ref="L24" si="7">SUM(E24:K24)</f>
        <v>48</v>
      </c>
    </row>
    <row r="25" spans="2:12" s="9" customFormat="1" ht="20.100000000000001" customHeight="1" x14ac:dyDescent="0.25">
      <c r="B25" s="87"/>
      <c r="C25" s="88"/>
      <c r="D25" s="88"/>
      <c r="E25" s="89"/>
      <c r="F25" s="88"/>
      <c r="G25" s="88"/>
      <c r="H25" s="88"/>
      <c r="I25" s="88"/>
      <c r="J25" s="88"/>
      <c r="K25" s="88"/>
      <c r="L25" s="90"/>
    </row>
    <row r="26" spans="2:12" s="9" customFormat="1" ht="20.100000000000001" customHeight="1" thickBot="1" x14ac:dyDescent="0.3">
      <c r="B26" s="95"/>
      <c r="C26" s="96"/>
      <c r="D26" s="97"/>
      <c r="E26" s="98"/>
      <c r="F26" s="99">
        <f t="shared" ref="F26:L26" si="8">SUM(F24:F25)</f>
        <v>8</v>
      </c>
      <c r="G26" s="99">
        <f t="shared" si="8"/>
        <v>8</v>
      </c>
      <c r="H26" s="99">
        <f t="shared" si="8"/>
        <v>8</v>
      </c>
      <c r="I26" s="99">
        <f t="shared" si="8"/>
        <v>8</v>
      </c>
      <c r="J26" s="99">
        <f t="shared" si="8"/>
        <v>8</v>
      </c>
      <c r="K26" s="99">
        <f t="shared" si="8"/>
        <v>8</v>
      </c>
      <c r="L26" s="100">
        <f t="shared" si="8"/>
        <v>48</v>
      </c>
    </row>
    <row r="27" spans="2:12" s="106" customFormat="1" ht="20.100000000000001" customHeight="1" x14ac:dyDescent="0.25">
      <c r="G27" s="104"/>
      <c r="H27" s="104"/>
      <c r="I27" s="104"/>
      <c r="J27" s="104"/>
      <c r="K27" s="104"/>
      <c r="L27" s="105"/>
    </row>
    <row r="28" spans="2:12" s="9" customFormat="1" ht="20.100000000000001" customHeight="1" x14ac:dyDescent="0.25">
      <c r="G28" s="107"/>
    </row>
    <row r="29" spans="2:12" s="9" customFormat="1" ht="20.100000000000001" customHeight="1" x14ac:dyDescent="0.25"/>
    <row r="30" spans="2:12" s="9" customFormat="1" ht="20.100000000000001" customHeight="1" x14ac:dyDescent="0.25"/>
    <row r="31" spans="2:12" s="9" customFormat="1" ht="20.100000000000001" customHeight="1" x14ac:dyDescent="0.25"/>
    <row r="32" spans="2:12" s="9" customFormat="1" ht="20.100000000000001" customHeight="1" x14ac:dyDescent="0.25"/>
    <row r="33" spans="2:13" s="9" customFormat="1" ht="20.100000000000001" customHeight="1" x14ac:dyDescent="0.25"/>
    <row r="34" spans="2:13" s="9" customFormat="1" ht="20.100000000000001" customHeight="1" x14ac:dyDescent="0.25">
      <c r="B34" s="1"/>
      <c r="C34" s="1"/>
      <c r="D34" s="1"/>
      <c r="E34" s="1"/>
      <c r="F34" s="1"/>
      <c r="G34" s="1"/>
      <c r="H34" s="1"/>
      <c r="I34" s="1"/>
      <c r="J34" s="1"/>
      <c r="K34" s="1"/>
      <c r="L34" s="1"/>
      <c r="M34" s="1"/>
    </row>
    <row r="35" spans="2:13" s="9" customFormat="1" ht="20.100000000000001" customHeight="1" x14ac:dyDescent="0.25">
      <c r="B35" s="1"/>
      <c r="C35" s="1"/>
      <c r="D35" s="1"/>
      <c r="E35" s="1"/>
      <c r="F35" s="1"/>
      <c r="G35" s="1"/>
      <c r="H35" s="1"/>
      <c r="I35" s="1"/>
      <c r="J35" s="1"/>
      <c r="K35" s="1"/>
      <c r="L35" s="1"/>
      <c r="M35" s="1"/>
    </row>
    <row r="36" spans="2:13" s="9" customFormat="1" ht="20.100000000000001" customHeight="1" x14ac:dyDescent="0.25">
      <c r="B36" s="1"/>
      <c r="C36" s="1"/>
      <c r="D36" s="1"/>
      <c r="E36" s="1"/>
      <c r="F36" s="1"/>
      <c r="G36" s="1"/>
      <c r="H36" s="1"/>
      <c r="I36" s="1"/>
      <c r="J36" s="1"/>
      <c r="K36" s="1"/>
      <c r="L36" s="1"/>
      <c r="M36" s="1"/>
    </row>
    <row r="37" spans="2:13" s="9" customFormat="1" ht="20.100000000000001" customHeight="1" x14ac:dyDescent="0.25">
      <c r="B37" s="1"/>
      <c r="C37" s="1"/>
      <c r="D37" s="1"/>
      <c r="E37" s="1"/>
      <c r="F37" s="1"/>
      <c r="G37" s="1"/>
      <c r="H37" s="1"/>
      <c r="I37" s="1"/>
      <c r="J37" s="1"/>
      <c r="K37" s="1"/>
      <c r="L37" s="1"/>
      <c r="M37" s="1"/>
    </row>
    <row r="38" spans="2:13" s="9" customFormat="1" ht="20.100000000000001" customHeight="1" x14ac:dyDescent="0.25">
      <c r="B38" s="1"/>
      <c r="C38" s="1"/>
      <c r="D38" s="1"/>
      <c r="E38" s="1"/>
      <c r="F38" s="1"/>
      <c r="G38" s="1"/>
      <c r="H38" s="1"/>
      <c r="I38" s="1"/>
      <c r="J38" s="1"/>
      <c r="K38" s="1"/>
      <c r="L38" s="1"/>
      <c r="M38" s="1"/>
    </row>
    <row r="39" spans="2:13" s="9" customFormat="1" ht="20.100000000000001" customHeight="1" x14ac:dyDescent="0.25">
      <c r="B39" s="1"/>
      <c r="C39" s="1"/>
      <c r="D39" s="1"/>
      <c r="E39" s="1"/>
      <c r="F39" s="1"/>
      <c r="G39" s="1"/>
      <c r="H39" s="1"/>
      <c r="I39" s="1"/>
      <c r="J39" s="1"/>
      <c r="K39" s="1"/>
      <c r="L39" s="1"/>
      <c r="M39" s="1"/>
    </row>
    <row r="40" spans="2:13" s="9" customFormat="1" ht="20.100000000000001" customHeight="1" x14ac:dyDescent="0.25">
      <c r="B40" s="1"/>
      <c r="C40" s="1"/>
      <c r="D40" s="1"/>
      <c r="E40" s="1"/>
      <c r="F40" s="1"/>
      <c r="G40" s="1"/>
      <c r="H40" s="1"/>
      <c r="I40" s="1"/>
      <c r="J40" s="1"/>
      <c r="K40" s="1"/>
      <c r="L40" s="1"/>
      <c r="M40" s="1"/>
    </row>
    <row r="41" spans="2:13" s="9" customFormat="1" ht="20.100000000000001" customHeight="1" x14ac:dyDescent="0.25">
      <c r="B41" s="1"/>
      <c r="C41" s="1"/>
      <c r="D41" s="1"/>
      <c r="E41" s="1"/>
      <c r="F41" s="1"/>
      <c r="G41" s="1"/>
      <c r="H41" s="1"/>
      <c r="I41" s="1"/>
      <c r="J41" s="1"/>
      <c r="K41" s="1"/>
      <c r="L41" s="1"/>
      <c r="M41" s="1"/>
    </row>
    <row r="42" spans="2:13" s="9" customFormat="1" ht="20.100000000000001" customHeight="1" x14ac:dyDescent="0.25">
      <c r="B42" s="1"/>
      <c r="C42" s="1"/>
      <c r="D42" s="1"/>
      <c r="E42" s="1"/>
      <c r="F42" s="1"/>
      <c r="G42" s="1"/>
      <c r="H42" s="1"/>
      <c r="I42" s="1"/>
      <c r="J42" s="1"/>
      <c r="K42" s="1"/>
      <c r="L42" s="1"/>
      <c r="M42" s="1"/>
    </row>
    <row r="43" spans="2:13" s="9" customFormat="1" ht="20.100000000000001" customHeight="1" x14ac:dyDescent="0.25">
      <c r="B43" s="1"/>
      <c r="C43" s="1"/>
      <c r="D43" s="1"/>
      <c r="E43" s="1"/>
      <c r="F43" s="1"/>
      <c r="G43" s="1"/>
      <c r="H43" s="1"/>
      <c r="I43" s="1"/>
      <c r="J43" s="1"/>
      <c r="K43" s="1"/>
      <c r="L43" s="1"/>
      <c r="M43" s="1"/>
    </row>
    <row r="44" spans="2:13" s="9" customFormat="1" ht="20.100000000000001" customHeight="1" x14ac:dyDescent="0.25">
      <c r="B44" s="1"/>
      <c r="C44" s="1"/>
      <c r="D44" s="1"/>
      <c r="E44" s="1"/>
      <c r="F44" s="1"/>
      <c r="G44" s="1"/>
      <c r="H44" s="1"/>
      <c r="I44" s="1"/>
      <c r="J44" s="1"/>
      <c r="K44" s="1"/>
      <c r="L44" s="1"/>
      <c r="M44" s="1"/>
    </row>
    <row r="45" spans="2:13" s="9" customFormat="1" ht="20.100000000000001" customHeight="1" x14ac:dyDescent="0.25">
      <c r="B45" s="1"/>
      <c r="C45" s="1"/>
      <c r="D45" s="1"/>
      <c r="E45" s="1"/>
      <c r="F45" s="1"/>
      <c r="G45" s="1"/>
      <c r="H45" s="1"/>
      <c r="I45" s="1"/>
      <c r="J45" s="1"/>
      <c r="K45" s="1"/>
      <c r="L45" s="1"/>
      <c r="M45" s="1"/>
    </row>
    <row r="46" spans="2:13" s="9" customFormat="1" ht="20.100000000000001" customHeight="1" x14ac:dyDescent="0.25">
      <c r="B46" s="1"/>
      <c r="C46" s="1"/>
      <c r="D46" s="1"/>
      <c r="E46" s="1"/>
      <c r="F46" s="1"/>
      <c r="G46" s="1"/>
      <c r="H46" s="1"/>
      <c r="I46" s="1"/>
      <c r="J46" s="1"/>
      <c r="K46" s="1"/>
      <c r="L46" s="1"/>
      <c r="M46" s="1"/>
    </row>
    <row r="47" spans="2:13" s="9" customFormat="1" ht="20.100000000000001" customHeight="1" x14ac:dyDescent="0.25">
      <c r="B47" s="1"/>
      <c r="C47" s="1"/>
      <c r="D47" s="1"/>
      <c r="E47" s="1"/>
      <c r="F47" s="1"/>
      <c r="G47" s="1"/>
      <c r="H47" s="1"/>
      <c r="I47" s="1"/>
      <c r="J47" s="1"/>
      <c r="K47" s="1"/>
      <c r="L47" s="1"/>
      <c r="M47" s="1"/>
    </row>
    <row r="48" spans="2:13" s="9" customFormat="1" ht="20.100000000000001" customHeight="1" x14ac:dyDescent="0.25">
      <c r="B48" s="1"/>
      <c r="C48" s="1"/>
      <c r="D48" s="1"/>
      <c r="E48" s="1"/>
      <c r="F48" s="1"/>
      <c r="G48" s="1"/>
      <c r="H48" s="1"/>
      <c r="I48" s="1"/>
      <c r="J48" s="1"/>
      <c r="K48" s="1"/>
      <c r="L48" s="1"/>
      <c r="M48" s="1"/>
    </row>
    <row r="49" spans="1:14" s="9" customFormat="1" ht="20.100000000000001" customHeight="1" x14ac:dyDescent="0.25">
      <c r="B49" s="1"/>
      <c r="C49" s="1"/>
      <c r="D49" s="1"/>
      <c r="E49" s="1"/>
      <c r="F49" s="1"/>
      <c r="G49" s="1"/>
      <c r="H49" s="1"/>
      <c r="I49" s="1"/>
      <c r="J49" s="1"/>
      <c r="K49" s="1"/>
      <c r="L49" s="1"/>
      <c r="M49" s="1"/>
    </row>
    <row r="50" spans="1:14" s="9" customFormat="1" x14ac:dyDescent="0.25">
      <c r="B50" s="1"/>
      <c r="C50" s="1"/>
      <c r="D50" s="1"/>
      <c r="E50" s="1"/>
      <c r="F50" s="1"/>
      <c r="G50" s="1"/>
      <c r="H50" s="1"/>
      <c r="I50" s="1"/>
      <c r="J50" s="1"/>
      <c r="K50" s="1"/>
      <c r="L50" s="1"/>
      <c r="M50" s="1"/>
    </row>
    <row r="51" spans="1:14" s="9" customFormat="1" x14ac:dyDescent="0.25">
      <c r="B51" s="1"/>
      <c r="C51" s="1"/>
      <c r="D51" s="1"/>
      <c r="E51" s="1"/>
      <c r="F51" s="1"/>
      <c r="G51" s="1"/>
      <c r="H51" s="1"/>
      <c r="I51" s="1"/>
      <c r="J51" s="1"/>
      <c r="K51" s="1"/>
      <c r="L51" s="1"/>
      <c r="M51" s="1"/>
    </row>
    <row r="52" spans="1:14" s="9" customFormat="1" x14ac:dyDescent="0.25">
      <c r="B52" s="1"/>
      <c r="C52" s="1"/>
      <c r="D52" s="1"/>
      <c r="E52" s="1"/>
      <c r="F52" s="1"/>
      <c r="G52" s="1"/>
      <c r="H52" s="1"/>
      <c r="I52" s="1"/>
      <c r="J52" s="1"/>
      <c r="K52" s="1"/>
      <c r="L52" s="1"/>
      <c r="M52" s="1"/>
    </row>
    <row r="53" spans="1:14" s="9" customFormat="1" x14ac:dyDescent="0.25">
      <c r="A53" s="1"/>
      <c r="B53" s="1"/>
      <c r="C53" s="1"/>
      <c r="D53" s="1"/>
      <c r="E53" s="1"/>
      <c r="F53" s="1"/>
      <c r="G53" s="1"/>
      <c r="H53" s="1"/>
      <c r="I53" s="1"/>
      <c r="J53" s="1"/>
      <c r="K53" s="1"/>
      <c r="L53" s="1"/>
      <c r="M53" s="1"/>
      <c r="N53" s="1"/>
    </row>
    <row r="54" spans="1:14" s="9" customFormat="1" x14ac:dyDescent="0.25">
      <c r="A54" s="1"/>
      <c r="B54" s="1"/>
      <c r="C54" s="1"/>
      <c r="D54" s="1"/>
      <c r="E54" s="1"/>
      <c r="F54" s="1"/>
      <c r="G54" s="1"/>
      <c r="H54" s="1"/>
      <c r="I54" s="1"/>
      <c r="J54" s="1"/>
      <c r="K54" s="1"/>
      <c r="L54" s="1"/>
      <c r="M54" s="1"/>
      <c r="N54" s="1"/>
    </row>
    <row r="55" spans="1:14" s="9" customFormat="1" x14ac:dyDescent="0.25">
      <c r="A55" s="1"/>
      <c r="B55" s="1"/>
      <c r="C55" s="1"/>
      <c r="D55" s="1"/>
      <c r="E55" s="1"/>
      <c r="F55" s="1"/>
      <c r="G55" s="1"/>
      <c r="H55" s="1"/>
      <c r="I55" s="1"/>
      <c r="J55" s="1"/>
      <c r="K55" s="1"/>
      <c r="L55" s="1"/>
      <c r="M55" s="1"/>
      <c r="N55" s="1"/>
    </row>
    <row r="56" spans="1:14" s="9" customFormat="1" x14ac:dyDescent="0.25">
      <c r="A56" s="1"/>
      <c r="B56" s="1"/>
      <c r="C56" s="1"/>
      <c r="D56" s="1"/>
      <c r="E56" s="1"/>
      <c r="F56" s="1"/>
      <c r="G56" s="1"/>
      <c r="H56" s="1"/>
      <c r="I56" s="1"/>
      <c r="J56" s="1"/>
      <c r="K56" s="1"/>
      <c r="L56" s="1"/>
      <c r="M56" s="1"/>
      <c r="N56" s="1"/>
    </row>
    <row r="57" spans="1:14" s="9" customFormat="1" x14ac:dyDescent="0.25">
      <c r="A57" s="1"/>
      <c r="B57" s="1"/>
      <c r="C57" s="1"/>
      <c r="D57" s="1"/>
      <c r="E57" s="1"/>
      <c r="F57" s="1"/>
      <c r="G57" s="1"/>
      <c r="H57" s="1"/>
      <c r="I57" s="1"/>
      <c r="J57" s="1"/>
      <c r="K57" s="1"/>
      <c r="L57" s="1"/>
      <c r="M57" s="1"/>
      <c r="N57" s="1"/>
    </row>
    <row r="58" spans="1:14" s="9" customFormat="1" x14ac:dyDescent="0.25">
      <c r="A58" s="1"/>
      <c r="B58" s="1"/>
      <c r="C58" s="1"/>
      <c r="D58" s="1"/>
      <c r="E58" s="1"/>
      <c r="F58" s="1"/>
      <c r="G58" s="1"/>
      <c r="H58" s="1"/>
      <c r="I58" s="1"/>
      <c r="J58" s="1"/>
      <c r="K58" s="1"/>
      <c r="L58" s="1"/>
      <c r="M58" s="1"/>
      <c r="N58" s="1"/>
    </row>
    <row r="59" spans="1:14" s="9" customFormat="1" x14ac:dyDescent="0.25">
      <c r="A59" s="1"/>
      <c r="B59" s="1"/>
      <c r="C59" s="1"/>
      <c r="D59" s="1"/>
      <c r="E59" s="1"/>
      <c r="F59" s="1"/>
      <c r="G59" s="1"/>
      <c r="H59" s="1"/>
      <c r="I59" s="1"/>
      <c r="J59" s="1"/>
      <c r="K59" s="1"/>
      <c r="L59" s="1"/>
      <c r="M59" s="1"/>
      <c r="N59" s="1"/>
    </row>
    <row r="60" spans="1:14" s="9" customFormat="1" x14ac:dyDescent="0.25">
      <c r="A60" s="1"/>
      <c r="B60" s="1"/>
      <c r="C60" s="1"/>
      <c r="D60" s="1"/>
      <c r="E60" s="1"/>
      <c r="F60" s="1"/>
      <c r="G60" s="1"/>
      <c r="H60" s="1"/>
      <c r="I60" s="1"/>
      <c r="J60" s="1"/>
      <c r="K60" s="1"/>
      <c r="L60" s="1"/>
      <c r="M60" s="1"/>
      <c r="N60" s="1"/>
    </row>
    <row r="61" spans="1:14" s="9" customFormat="1" x14ac:dyDescent="0.25">
      <c r="A61" s="1"/>
      <c r="B61" s="1"/>
      <c r="C61" s="1"/>
      <c r="D61" s="1"/>
      <c r="E61" s="1"/>
      <c r="F61" s="1"/>
      <c r="G61" s="1"/>
      <c r="H61" s="1"/>
      <c r="I61" s="1"/>
      <c r="J61" s="1"/>
      <c r="K61" s="1"/>
      <c r="L61" s="1"/>
      <c r="M61" s="1"/>
      <c r="N61" s="1"/>
    </row>
    <row r="62" spans="1:14" s="9" customFormat="1" x14ac:dyDescent="0.25">
      <c r="A62" s="1"/>
      <c r="B62" s="1"/>
      <c r="C62" s="1"/>
      <c r="D62" s="1"/>
      <c r="E62" s="1"/>
      <c r="F62" s="1"/>
      <c r="G62" s="1"/>
      <c r="H62" s="1"/>
      <c r="I62" s="1"/>
      <c r="J62" s="1"/>
      <c r="K62" s="1"/>
      <c r="L62" s="1"/>
      <c r="M62" s="1"/>
      <c r="N62" s="1"/>
    </row>
  </sheetData>
  <mergeCells count="5">
    <mergeCell ref="B14:B16"/>
    <mergeCell ref="B17:B18"/>
    <mergeCell ref="B24:B25"/>
    <mergeCell ref="B4:B6"/>
    <mergeCell ref="B7:B8"/>
  </mergeCells>
  <pageMargins left="0.7" right="0.7" top="0.75" bottom="0.75" header="0.3" footer="0.3"/>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9"/>
  <sheetViews>
    <sheetView showGridLines="0" tabSelected="1" workbookViewId="0"/>
  </sheetViews>
  <sheetFormatPr defaultColWidth="11" defaultRowHeight="15" x14ac:dyDescent="0.25"/>
  <cols>
    <col min="1" max="1" width="3.375" style="1" customWidth="1"/>
    <col min="2" max="2" width="2.375" style="1" customWidth="1"/>
    <col min="3" max="3" width="23.5" style="1" customWidth="1"/>
    <col min="4" max="4" width="14.875" style="1" customWidth="1"/>
    <col min="5" max="5" width="18.125" style="1" customWidth="1"/>
    <col min="6" max="6" width="14.75" style="1" customWidth="1"/>
    <col min="7" max="13" width="8.625" style="1" customWidth="1"/>
    <col min="14" max="16384" width="11" style="1"/>
  </cols>
  <sheetData>
    <row r="2" spans="1:13" s="4" customFormat="1" ht="20.100000000000001" customHeight="1" thickBot="1" x14ac:dyDescent="0.3">
      <c r="A2" s="1"/>
      <c r="B2" s="1"/>
      <c r="C2" s="1"/>
      <c r="D2" s="1"/>
      <c r="E2" s="1"/>
      <c r="F2" s="1"/>
      <c r="G2" s="1"/>
      <c r="H2" s="1"/>
      <c r="I2" s="1"/>
      <c r="J2" s="1"/>
      <c r="K2" s="1"/>
      <c r="L2" s="1"/>
      <c r="M2" s="1"/>
    </row>
    <row r="3" spans="1:13" s="9" customFormat="1" ht="15.75" thickBot="1" x14ac:dyDescent="0.3">
      <c r="A3" s="1"/>
      <c r="B3" s="1"/>
      <c r="C3" s="35" t="s">
        <v>92</v>
      </c>
      <c r="D3" s="45" t="s">
        <v>146</v>
      </c>
      <c r="E3" s="75" t="s">
        <v>147</v>
      </c>
      <c r="F3" s="8" t="s">
        <v>148</v>
      </c>
      <c r="G3" s="1"/>
      <c r="H3" s="1"/>
      <c r="I3" s="1"/>
      <c r="J3" s="1"/>
      <c r="K3" s="1"/>
      <c r="L3" s="1"/>
      <c r="M3" s="1"/>
    </row>
    <row r="4" spans="1:13" s="9" customFormat="1" ht="20.100000000000001" customHeight="1" x14ac:dyDescent="0.25">
      <c r="A4" s="1"/>
      <c r="B4" s="1"/>
      <c r="C4" s="36" t="s">
        <v>86</v>
      </c>
      <c r="D4" s="50">
        <v>9.5</v>
      </c>
      <c r="E4" s="50">
        <v>10</v>
      </c>
      <c r="F4" s="13">
        <v>10.5</v>
      </c>
      <c r="G4" s="1"/>
      <c r="H4" s="1"/>
      <c r="I4" s="1"/>
      <c r="J4" s="1"/>
      <c r="K4" s="1"/>
      <c r="L4" s="1"/>
      <c r="M4" s="1"/>
    </row>
    <row r="5" spans="1:13" s="9" customFormat="1" ht="20.100000000000001" customHeight="1" x14ac:dyDescent="0.25">
      <c r="A5" s="1"/>
      <c r="B5" s="1"/>
      <c r="C5" s="36" t="s">
        <v>93</v>
      </c>
      <c r="D5" s="54">
        <v>12</v>
      </c>
      <c r="E5" s="54">
        <v>12.5</v>
      </c>
      <c r="F5" s="14">
        <v>13</v>
      </c>
      <c r="G5" s="1"/>
      <c r="H5" s="1"/>
      <c r="I5" s="1"/>
      <c r="J5" s="1"/>
      <c r="K5" s="1"/>
      <c r="L5" s="1"/>
      <c r="M5" s="1"/>
    </row>
    <row r="6" spans="1:13" s="9" customFormat="1" ht="20.100000000000001" customHeight="1" thickBot="1" x14ac:dyDescent="0.3">
      <c r="A6" s="1"/>
      <c r="B6" s="1"/>
      <c r="C6" s="76" t="s">
        <v>187</v>
      </c>
      <c r="D6" s="77">
        <f>40000</f>
        <v>40000</v>
      </c>
      <c r="E6" s="77">
        <f>42500</f>
        <v>42500</v>
      </c>
      <c r="F6" s="22">
        <f>E6*1.03</f>
        <v>43775</v>
      </c>
      <c r="G6" s="1"/>
      <c r="H6" s="1"/>
      <c r="I6" s="1"/>
      <c r="J6" s="1"/>
      <c r="K6" s="1"/>
      <c r="L6" s="1"/>
      <c r="M6" s="1"/>
    </row>
    <row r="7" spans="1:13" s="9" customFormat="1" ht="20.100000000000001" customHeight="1" x14ac:dyDescent="0.25">
      <c r="A7" s="1"/>
      <c r="B7" s="1"/>
      <c r="C7" s="1"/>
      <c r="D7" s="1"/>
      <c r="E7" s="1"/>
      <c r="F7" s="1"/>
      <c r="G7" s="1"/>
      <c r="H7" s="1"/>
      <c r="I7" s="1"/>
      <c r="J7" s="1"/>
      <c r="K7" s="1"/>
      <c r="L7" s="1"/>
      <c r="M7" s="1"/>
    </row>
    <row r="8" spans="1:13" s="9" customFormat="1" ht="20.100000000000001" customHeight="1" x14ac:dyDescent="0.25">
      <c r="A8" s="1"/>
      <c r="B8" s="1"/>
      <c r="C8" s="1"/>
      <c r="D8" s="1"/>
      <c r="E8" s="1"/>
      <c r="F8" s="1"/>
      <c r="G8" s="1"/>
      <c r="H8" s="1"/>
      <c r="I8" s="1"/>
      <c r="J8" s="1"/>
      <c r="K8" s="1"/>
      <c r="L8" s="1"/>
      <c r="M8" s="1"/>
    </row>
    <row r="9" spans="1:13" s="9" customFormat="1" ht="20.100000000000001" customHeight="1" x14ac:dyDescent="0.25">
      <c r="A9" s="1"/>
      <c r="B9" s="1"/>
      <c r="C9" s="1"/>
      <c r="D9" s="1"/>
      <c r="E9" s="1"/>
      <c r="F9" s="1"/>
      <c r="G9" s="1"/>
      <c r="H9" s="1"/>
      <c r="I9" s="1"/>
      <c r="J9" s="1"/>
      <c r="K9" s="1"/>
      <c r="L9" s="1"/>
      <c r="M9" s="1"/>
    </row>
    <row r="10" spans="1:13" s="9" customFormat="1" ht="20.100000000000001" customHeight="1" x14ac:dyDescent="0.25">
      <c r="A10" s="1"/>
      <c r="B10" s="1"/>
      <c r="C10" s="1"/>
      <c r="D10" s="1"/>
      <c r="E10" s="1"/>
      <c r="F10" s="1"/>
      <c r="G10" s="1"/>
      <c r="H10" s="1"/>
      <c r="I10" s="1"/>
      <c r="J10" s="1"/>
      <c r="K10" s="1"/>
      <c r="L10" s="1"/>
      <c r="M10" s="1"/>
    </row>
    <row r="11" spans="1:13" s="9" customFormat="1" ht="20.100000000000001" customHeight="1" x14ac:dyDescent="0.25">
      <c r="A11" s="1"/>
      <c r="B11" s="1"/>
      <c r="C11" s="1"/>
      <c r="D11" s="1"/>
      <c r="E11" s="1"/>
      <c r="F11" s="1"/>
      <c r="G11" s="1"/>
      <c r="H11" s="1"/>
      <c r="I11" s="1"/>
      <c r="J11" s="1"/>
      <c r="K11" s="1"/>
      <c r="L11" s="1"/>
      <c r="M11" s="1"/>
    </row>
    <row r="12" spans="1:13" s="9" customFormat="1" ht="20.100000000000001" customHeight="1" x14ac:dyDescent="0.25">
      <c r="A12" s="1"/>
      <c r="B12" s="1"/>
      <c r="C12" s="1"/>
      <c r="D12" s="1"/>
      <c r="E12" s="1"/>
      <c r="F12" s="1"/>
      <c r="G12" s="1"/>
      <c r="H12" s="1"/>
      <c r="I12" s="1"/>
      <c r="J12" s="1"/>
      <c r="K12" s="1"/>
      <c r="L12" s="1"/>
      <c r="M12" s="1"/>
    </row>
    <row r="13" spans="1:13" s="9" customFormat="1" ht="20.100000000000001" customHeight="1" x14ac:dyDescent="0.25">
      <c r="A13" s="1"/>
      <c r="B13" s="1"/>
      <c r="C13" s="1"/>
      <c r="D13" s="1"/>
      <c r="E13" s="1"/>
      <c r="F13" s="1"/>
      <c r="G13" s="1"/>
      <c r="H13" s="1"/>
      <c r="I13" s="1"/>
      <c r="J13" s="1"/>
      <c r="K13" s="1"/>
      <c r="L13" s="1"/>
      <c r="M13" s="1"/>
    </row>
    <row r="14" spans="1:13" s="9" customFormat="1" ht="20.100000000000001" customHeight="1" x14ac:dyDescent="0.25">
      <c r="A14" s="1"/>
      <c r="B14" s="1"/>
      <c r="C14" s="1"/>
      <c r="D14" s="1"/>
      <c r="E14" s="1"/>
      <c r="F14" s="1"/>
      <c r="G14" s="1"/>
      <c r="H14" s="1"/>
      <c r="I14" s="1"/>
      <c r="J14" s="1"/>
      <c r="K14" s="1"/>
      <c r="L14" s="1"/>
      <c r="M14" s="1"/>
    </row>
    <row r="15" spans="1:13" s="9" customFormat="1" ht="20.100000000000001" customHeight="1" x14ac:dyDescent="0.25">
      <c r="A15" s="1"/>
      <c r="B15" s="1"/>
      <c r="C15" s="1"/>
      <c r="D15" s="1"/>
      <c r="E15" s="1"/>
      <c r="F15" s="1"/>
      <c r="G15" s="1"/>
      <c r="H15" s="1"/>
      <c r="I15" s="1"/>
      <c r="J15" s="1"/>
      <c r="K15" s="1"/>
      <c r="L15" s="1"/>
      <c r="M15" s="1"/>
    </row>
    <row r="16" spans="1:13" s="9" customFormat="1" ht="20.100000000000001" customHeight="1" x14ac:dyDescent="0.25">
      <c r="A16" s="1"/>
      <c r="B16" s="1"/>
      <c r="C16" s="1"/>
      <c r="D16" s="1"/>
      <c r="E16" s="1"/>
      <c r="F16" s="1"/>
      <c r="G16" s="1"/>
      <c r="H16" s="1"/>
      <c r="I16" s="1"/>
      <c r="J16" s="1"/>
      <c r="K16" s="1"/>
      <c r="L16" s="1"/>
      <c r="M16" s="1"/>
    </row>
    <row r="17" spans="1:13" s="9" customFormat="1" ht="20.100000000000001" customHeight="1" x14ac:dyDescent="0.25">
      <c r="A17" s="1"/>
      <c r="B17" s="1"/>
      <c r="C17" s="1"/>
      <c r="D17" s="1"/>
      <c r="E17" s="1"/>
      <c r="F17" s="1"/>
      <c r="G17" s="1"/>
      <c r="H17" s="1"/>
      <c r="I17" s="1"/>
      <c r="J17" s="1"/>
      <c r="K17" s="1"/>
      <c r="L17" s="1"/>
      <c r="M17" s="1"/>
    </row>
    <row r="18" spans="1:13" s="9" customFormat="1" ht="20.100000000000001" customHeight="1" x14ac:dyDescent="0.25">
      <c r="A18" s="1"/>
      <c r="B18" s="1"/>
      <c r="C18" s="1"/>
      <c r="D18" s="1"/>
      <c r="E18" s="1"/>
      <c r="F18" s="1"/>
      <c r="G18" s="1"/>
      <c r="H18" s="1"/>
      <c r="I18" s="1"/>
      <c r="J18" s="1"/>
      <c r="K18" s="1"/>
      <c r="L18" s="1"/>
      <c r="M18" s="1"/>
    </row>
    <row r="19" spans="1:13" s="9" customFormat="1" ht="20.100000000000001" customHeight="1" x14ac:dyDescent="0.25">
      <c r="A19" s="1"/>
      <c r="B19" s="1"/>
      <c r="C19" s="1"/>
      <c r="D19" s="1"/>
      <c r="E19" s="1"/>
      <c r="F19" s="1"/>
      <c r="G19" s="1"/>
      <c r="H19" s="1"/>
      <c r="I19" s="1"/>
      <c r="J19" s="1"/>
      <c r="K19" s="1"/>
      <c r="L19" s="1"/>
      <c r="M19" s="1"/>
    </row>
    <row r="20" spans="1:13" s="9" customFormat="1" ht="20.100000000000001" customHeight="1" x14ac:dyDescent="0.25">
      <c r="A20" s="1"/>
      <c r="B20" s="1"/>
      <c r="C20" s="1"/>
      <c r="D20" s="1"/>
      <c r="E20" s="1"/>
      <c r="F20" s="1"/>
      <c r="G20" s="1"/>
      <c r="H20" s="1"/>
      <c r="I20" s="1"/>
      <c r="J20" s="1"/>
      <c r="K20" s="1"/>
      <c r="L20" s="1"/>
      <c r="M20" s="1"/>
    </row>
    <row r="21" spans="1:13" s="9" customFormat="1" ht="20.100000000000001" customHeight="1" x14ac:dyDescent="0.25">
      <c r="A21" s="1"/>
      <c r="B21" s="1"/>
      <c r="C21" s="1"/>
      <c r="D21" s="1"/>
      <c r="E21" s="1"/>
      <c r="F21" s="1"/>
      <c r="G21" s="1"/>
      <c r="H21" s="1"/>
      <c r="I21" s="1"/>
      <c r="J21" s="1"/>
      <c r="K21" s="1"/>
      <c r="L21" s="1"/>
      <c r="M21" s="1"/>
    </row>
    <row r="22" spans="1:13" s="9" customFormat="1" ht="20.100000000000001" customHeight="1" x14ac:dyDescent="0.25">
      <c r="A22" s="1"/>
      <c r="B22" s="1"/>
      <c r="C22" s="1"/>
      <c r="D22" s="1"/>
      <c r="E22" s="1"/>
      <c r="F22" s="1"/>
      <c r="G22" s="1"/>
      <c r="H22" s="1"/>
      <c r="I22" s="1"/>
      <c r="J22" s="1"/>
      <c r="K22" s="1"/>
      <c r="L22" s="1"/>
      <c r="M22" s="1"/>
    </row>
    <row r="23" spans="1:13" s="9" customFormat="1" ht="20.100000000000001" customHeight="1" x14ac:dyDescent="0.25">
      <c r="A23" s="1"/>
      <c r="B23" s="1"/>
      <c r="C23" s="1"/>
      <c r="D23" s="1"/>
      <c r="E23" s="1"/>
      <c r="F23" s="1"/>
      <c r="G23" s="1"/>
      <c r="H23" s="1"/>
      <c r="I23" s="1"/>
      <c r="J23" s="1"/>
      <c r="K23" s="1"/>
      <c r="L23" s="1"/>
      <c r="M23" s="1"/>
    </row>
    <row r="24" spans="1:13" s="9" customFormat="1" ht="20.100000000000001" customHeight="1" x14ac:dyDescent="0.25">
      <c r="A24" s="1"/>
      <c r="B24" s="1"/>
      <c r="C24" s="1"/>
      <c r="D24" s="1"/>
      <c r="E24" s="1"/>
      <c r="F24" s="1"/>
      <c r="G24" s="1"/>
      <c r="H24" s="1"/>
      <c r="I24" s="1"/>
      <c r="J24" s="1"/>
      <c r="K24" s="1"/>
      <c r="L24" s="1"/>
      <c r="M24" s="1"/>
    </row>
    <row r="25" spans="1:13" s="9" customFormat="1" ht="20.100000000000001" customHeight="1" x14ac:dyDescent="0.25">
      <c r="A25" s="1"/>
      <c r="B25" s="1"/>
      <c r="C25" s="1"/>
      <c r="D25" s="1"/>
      <c r="E25" s="1"/>
      <c r="F25" s="1"/>
      <c r="G25" s="1"/>
      <c r="H25" s="1"/>
      <c r="I25" s="1"/>
      <c r="J25" s="1"/>
      <c r="K25" s="1"/>
      <c r="L25" s="1"/>
      <c r="M25" s="1"/>
    </row>
    <row r="26" spans="1:13" s="9" customFormat="1" ht="20.100000000000001" customHeight="1" x14ac:dyDescent="0.25">
      <c r="A26" s="1"/>
      <c r="B26" s="1"/>
      <c r="C26" s="1"/>
      <c r="D26" s="1"/>
      <c r="E26" s="1"/>
      <c r="F26" s="1"/>
      <c r="G26" s="1"/>
      <c r="H26" s="1"/>
      <c r="I26" s="1"/>
      <c r="J26" s="1"/>
      <c r="K26" s="1"/>
      <c r="L26" s="1"/>
      <c r="M26" s="1"/>
    </row>
    <row r="27" spans="1:13" s="9" customFormat="1" ht="20.100000000000001" customHeight="1" x14ac:dyDescent="0.25">
      <c r="A27" s="1"/>
      <c r="B27" s="1"/>
      <c r="C27" s="1"/>
      <c r="D27" s="1"/>
      <c r="E27" s="1"/>
      <c r="F27" s="1"/>
      <c r="G27" s="1"/>
      <c r="H27" s="1"/>
      <c r="I27" s="1"/>
      <c r="J27" s="1"/>
      <c r="K27" s="1"/>
      <c r="L27" s="1"/>
      <c r="M27" s="1"/>
    </row>
    <row r="28" spans="1:13" s="9" customFormat="1" ht="20.100000000000001" customHeight="1" x14ac:dyDescent="0.25">
      <c r="A28" s="1"/>
      <c r="B28" s="1"/>
      <c r="C28" s="1"/>
      <c r="D28" s="1"/>
      <c r="E28" s="1"/>
      <c r="F28" s="1"/>
      <c r="G28" s="1"/>
      <c r="H28" s="1"/>
      <c r="I28" s="1"/>
      <c r="J28" s="1"/>
      <c r="K28" s="1"/>
      <c r="L28" s="1"/>
      <c r="M28" s="1"/>
    </row>
    <row r="29" spans="1:13" s="9" customFormat="1" ht="20.100000000000001" customHeight="1" x14ac:dyDescent="0.25">
      <c r="A29" s="1"/>
      <c r="B29" s="1"/>
      <c r="C29" s="1"/>
      <c r="D29" s="1"/>
      <c r="E29" s="1"/>
      <c r="F29" s="1"/>
      <c r="G29" s="1"/>
      <c r="H29" s="1"/>
      <c r="I29" s="1"/>
      <c r="J29" s="1"/>
      <c r="K29" s="1"/>
      <c r="L29" s="1"/>
      <c r="M29" s="1"/>
    </row>
    <row r="30" spans="1:13" s="9" customFormat="1" ht="20.100000000000001" customHeight="1" x14ac:dyDescent="0.25">
      <c r="A30" s="1"/>
      <c r="B30" s="1"/>
      <c r="C30" s="1"/>
      <c r="D30" s="1"/>
      <c r="E30" s="1"/>
      <c r="F30" s="1"/>
      <c r="G30" s="1"/>
      <c r="H30" s="1"/>
      <c r="I30" s="1"/>
      <c r="J30" s="1"/>
      <c r="K30" s="1"/>
      <c r="L30" s="1"/>
      <c r="M30" s="1"/>
    </row>
    <row r="31" spans="1:13" s="9" customFormat="1" ht="20.100000000000001" customHeight="1" x14ac:dyDescent="0.25">
      <c r="A31" s="1"/>
      <c r="B31" s="1"/>
      <c r="C31" s="1"/>
      <c r="D31" s="1"/>
      <c r="E31" s="1"/>
      <c r="F31" s="1"/>
      <c r="G31" s="1"/>
      <c r="H31" s="1"/>
      <c r="I31" s="1"/>
      <c r="J31" s="1"/>
      <c r="K31" s="1"/>
      <c r="L31" s="1"/>
      <c r="M31" s="1"/>
    </row>
    <row r="32" spans="1:13" s="9" customFormat="1" ht="20.100000000000001" customHeight="1" x14ac:dyDescent="0.25">
      <c r="A32" s="1"/>
      <c r="B32" s="1"/>
      <c r="C32" s="1"/>
      <c r="D32" s="1"/>
      <c r="E32" s="1"/>
      <c r="F32" s="1"/>
      <c r="G32" s="1"/>
      <c r="H32" s="1"/>
      <c r="I32" s="1"/>
      <c r="J32" s="1"/>
      <c r="K32" s="1"/>
      <c r="L32" s="1"/>
      <c r="M32" s="1"/>
    </row>
    <row r="33" spans="1:13" s="9" customFormat="1" ht="20.100000000000001" customHeight="1" x14ac:dyDescent="0.25">
      <c r="A33" s="1"/>
      <c r="B33" s="1"/>
      <c r="C33" s="1"/>
      <c r="D33" s="1"/>
      <c r="E33" s="1"/>
      <c r="F33" s="1"/>
      <c r="G33" s="1"/>
      <c r="H33" s="1"/>
      <c r="I33" s="1"/>
      <c r="J33" s="1"/>
      <c r="K33" s="1"/>
      <c r="L33" s="1"/>
      <c r="M33" s="1"/>
    </row>
    <row r="34" spans="1:13" s="9" customFormat="1" ht="20.100000000000001" customHeight="1" x14ac:dyDescent="0.25">
      <c r="A34" s="1"/>
      <c r="B34" s="1"/>
      <c r="C34" s="1"/>
      <c r="D34" s="1"/>
      <c r="E34" s="1"/>
      <c r="F34" s="1"/>
      <c r="G34" s="1"/>
      <c r="H34" s="1"/>
      <c r="I34" s="1"/>
      <c r="J34" s="1"/>
      <c r="K34" s="1"/>
      <c r="L34" s="1"/>
      <c r="M34" s="1"/>
    </row>
    <row r="35" spans="1:13" s="9" customFormat="1" ht="20.100000000000001" customHeight="1" x14ac:dyDescent="0.25">
      <c r="A35" s="1"/>
      <c r="B35" s="1"/>
      <c r="C35" s="1"/>
      <c r="D35" s="1"/>
      <c r="E35" s="1"/>
      <c r="F35" s="1"/>
      <c r="G35" s="1"/>
      <c r="H35" s="1"/>
      <c r="I35" s="1"/>
      <c r="J35" s="1"/>
      <c r="K35" s="1"/>
      <c r="L35" s="1"/>
      <c r="M35" s="1"/>
    </row>
    <row r="36" spans="1:13" s="9" customFormat="1" ht="20.100000000000001" customHeight="1" x14ac:dyDescent="0.25">
      <c r="A36" s="1"/>
      <c r="B36" s="1"/>
      <c r="C36" s="1"/>
      <c r="D36" s="1"/>
      <c r="E36" s="1"/>
      <c r="F36" s="1"/>
      <c r="G36" s="1"/>
      <c r="H36" s="1"/>
      <c r="I36" s="1"/>
      <c r="J36" s="1"/>
      <c r="K36" s="1"/>
      <c r="L36" s="1"/>
      <c r="M36" s="1"/>
    </row>
    <row r="37" spans="1:13" s="9" customFormat="1" x14ac:dyDescent="0.25">
      <c r="A37" s="1"/>
      <c r="B37" s="1"/>
      <c r="C37" s="1"/>
      <c r="D37" s="1"/>
      <c r="E37" s="1"/>
      <c r="F37" s="1"/>
      <c r="G37" s="1"/>
      <c r="H37" s="1"/>
      <c r="I37" s="1"/>
      <c r="J37" s="1"/>
      <c r="K37" s="1"/>
      <c r="L37" s="1"/>
      <c r="M37" s="1"/>
    </row>
    <row r="38" spans="1:13" s="9" customFormat="1" x14ac:dyDescent="0.25">
      <c r="A38" s="1"/>
      <c r="B38" s="1"/>
      <c r="C38" s="1"/>
      <c r="D38" s="1"/>
      <c r="E38" s="1"/>
      <c r="F38" s="1"/>
      <c r="G38" s="1"/>
      <c r="H38" s="1"/>
      <c r="I38" s="1"/>
      <c r="J38" s="1"/>
      <c r="K38" s="1"/>
      <c r="L38" s="1"/>
      <c r="M38" s="1"/>
    </row>
    <row r="39" spans="1:13" s="9" customFormat="1" x14ac:dyDescent="0.25">
      <c r="A39" s="1"/>
      <c r="B39" s="1"/>
      <c r="C39" s="1"/>
      <c r="D39" s="1"/>
      <c r="E39" s="1"/>
      <c r="F39" s="1"/>
      <c r="G39" s="1"/>
      <c r="H39" s="1"/>
      <c r="I39" s="1"/>
      <c r="J39" s="1"/>
      <c r="K39" s="1"/>
      <c r="L39" s="1"/>
      <c r="M39" s="1"/>
    </row>
    <row r="40" spans="1:13" s="9" customFormat="1" x14ac:dyDescent="0.25">
      <c r="A40" s="1"/>
      <c r="B40" s="1"/>
      <c r="C40" s="1"/>
      <c r="D40" s="1"/>
      <c r="E40" s="1"/>
      <c r="F40" s="1"/>
      <c r="G40" s="1"/>
      <c r="H40" s="1"/>
      <c r="I40" s="1"/>
      <c r="J40" s="1"/>
      <c r="K40" s="1"/>
      <c r="L40" s="1"/>
      <c r="M40" s="1"/>
    </row>
    <row r="41" spans="1:13" s="9" customFormat="1" x14ac:dyDescent="0.25">
      <c r="A41" s="1"/>
      <c r="B41" s="1"/>
      <c r="C41" s="1"/>
      <c r="D41" s="1"/>
      <c r="E41" s="1"/>
      <c r="F41" s="1"/>
      <c r="G41" s="1"/>
      <c r="H41" s="1"/>
      <c r="I41" s="1"/>
      <c r="J41" s="1"/>
      <c r="K41" s="1"/>
      <c r="L41" s="1"/>
      <c r="M41" s="1"/>
    </row>
    <row r="42" spans="1:13" s="9" customFormat="1" x14ac:dyDescent="0.25">
      <c r="A42" s="1"/>
      <c r="B42" s="1"/>
      <c r="C42" s="1"/>
      <c r="D42" s="1"/>
      <c r="E42" s="1"/>
      <c r="F42" s="1"/>
      <c r="G42" s="1"/>
      <c r="H42" s="1"/>
      <c r="I42" s="1"/>
      <c r="J42" s="1"/>
      <c r="K42" s="1"/>
      <c r="L42" s="1"/>
      <c r="M42" s="1"/>
    </row>
    <row r="43" spans="1:13" s="9" customFormat="1" x14ac:dyDescent="0.25">
      <c r="A43" s="1"/>
      <c r="B43" s="1"/>
      <c r="C43" s="1"/>
      <c r="D43" s="1"/>
      <c r="E43" s="1"/>
      <c r="F43" s="1"/>
      <c r="G43" s="1"/>
      <c r="H43" s="1"/>
      <c r="I43" s="1"/>
      <c r="J43" s="1"/>
      <c r="K43" s="1"/>
      <c r="L43" s="1"/>
      <c r="M43" s="1"/>
    </row>
    <row r="44" spans="1:13" s="9" customFormat="1" x14ac:dyDescent="0.25">
      <c r="A44" s="1"/>
      <c r="B44" s="1"/>
      <c r="C44" s="1"/>
      <c r="D44" s="1"/>
      <c r="E44" s="1"/>
      <c r="F44" s="1"/>
      <c r="G44" s="1"/>
      <c r="H44" s="1"/>
      <c r="I44" s="1"/>
      <c r="J44" s="1"/>
      <c r="K44" s="1"/>
      <c r="L44" s="1"/>
      <c r="M44" s="1"/>
    </row>
    <row r="45" spans="1:13" s="9" customFormat="1" x14ac:dyDescent="0.25">
      <c r="A45" s="1"/>
      <c r="B45" s="1"/>
      <c r="C45" s="1"/>
      <c r="D45" s="1"/>
      <c r="E45" s="1"/>
      <c r="F45" s="1"/>
      <c r="G45" s="1"/>
      <c r="H45" s="1"/>
      <c r="I45" s="1"/>
      <c r="J45" s="1"/>
      <c r="K45" s="1"/>
      <c r="L45" s="1"/>
      <c r="M45" s="1"/>
    </row>
    <row r="46" spans="1:13" s="9" customFormat="1" x14ac:dyDescent="0.25">
      <c r="A46" s="1"/>
      <c r="B46" s="1"/>
      <c r="C46" s="1"/>
      <c r="D46" s="1"/>
      <c r="E46" s="1"/>
      <c r="F46" s="1"/>
      <c r="G46" s="1"/>
      <c r="H46" s="1"/>
      <c r="I46" s="1"/>
      <c r="J46" s="1"/>
      <c r="K46" s="1"/>
      <c r="L46" s="1"/>
      <c r="M46" s="1"/>
    </row>
    <row r="47" spans="1:13" s="9" customFormat="1" x14ac:dyDescent="0.25">
      <c r="A47" s="1"/>
      <c r="B47" s="1"/>
      <c r="C47" s="1"/>
      <c r="D47" s="1"/>
      <c r="E47" s="1"/>
      <c r="F47" s="1"/>
      <c r="G47" s="1"/>
      <c r="H47" s="1"/>
      <c r="I47" s="1"/>
      <c r="J47" s="1"/>
      <c r="K47" s="1"/>
      <c r="L47" s="1"/>
      <c r="M47" s="1"/>
    </row>
    <row r="48" spans="1:13" s="9" customFormat="1" x14ac:dyDescent="0.25">
      <c r="A48" s="1"/>
      <c r="B48" s="1"/>
      <c r="C48" s="1"/>
      <c r="D48" s="1"/>
      <c r="E48" s="1"/>
      <c r="F48" s="1"/>
      <c r="G48" s="1"/>
      <c r="H48" s="1"/>
      <c r="I48" s="1"/>
      <c r="J48" s="1"/>
      <c r="K48" s="1"/>
      <c r="L48" s="1"/>
      <c r="M48" s="1"/>
    </row>
    <row r="49" spans="1:13" s="9" customFormat="1" x14ac:dyDescent="0.25">
      <c r="A49" s="1"/>
      <c r="B49" s="1"/>
      <c r="C49" s="1"/>
      <c r="D49" s="1"/>
      <c r="E49" s="1"/>
      <c r="F49" s="1"/>
      <c r="G49" s="1"/>
      <c r="H49" s="1"/>
      <c r="I49" s="1"/>
      <c r="J49" s="1"/>
      <c r="K49" s="1"/>
      <c r="L49" s="1"/>
      <c r="M49" s="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2"/>
  <sheetViews>
    <sheetView showGridLines="0" tabSelected="1" workbookViewId="0"/>
  </sheetViews>
  <sheetFormatPr defaultColWidth="11" defaultRowHeight="15" x14ac:dyDescent="0.25"/>
  <cols>
    <col min="1" max="1" width="3.375" style="1" customWidth="1"/>
    <col min="2" max="2" width="2.375" style="1" customWidth="1"/>
    <col min="3" max="3" width="51.125" style="1" customWidth="1"/>
    <col min="4" max="4" width="21.75" style="1" customWidth="1"/>
    <col min="5" max="5" width="14.75" style="1" customWidth="1"/>
    <col min="6" max="12" width="8.625" style="1" customWidth="1"/>
    <col min="13" max="16384" width="11" style="1"/>
  </cols>
  <sheetData>
    <row r="2" spans="1:12" s="4" customFormat="1" ht="20.100000000000001" customHeight="1" thickBot="1" x14ac:dyDescent="0.3">
      <c r="A2" s="1"/>
      <c r="B2" s="1"/>
      <c r="C2" s="1"/>
      <c r="D2" s="1"/>
      <c r="E2" s="1"/>
      <c r="F2" s="1"/>
      <c r="G2" s="1"/>
      <c r="H2" s="1"/>
      <c r="I2" s="1"/>
      <c r="J2" s="1"/>
      <c r="K2" s="1"/>
      <c r="L2" s="1"/>
    </row>
    <row r="3" spans="1:12" s="9" customFormat="1" ht="15.75" thickBot="1" x14ac:dyDescent="0.3">
      <c r="A3" s="1"/>
      <c r="B3" s="1"/>
      <c r="C3" s="35" t="s">
        <v>94</v>
      </c>
      <c r="D3" s="7" t="s">
        <v>161</v>
      </c>
      <c r="E3" s="8" t="s">
        <v>160</v>
      </c>
      <c r="F3" s="1"/>
      <c r="G3" s="1"/>
      <c r="H3" s="1"/>
      <c r="I3" s="1"/>
      <c r="J3" s="1"/>
      <c r="K3" s="1"/>
      <c r="L3" s="1"/>
    </row>
    <row r="4" spans="1:12" s="9" customFormat="1" ht="20.100000000000001" customHeight="1" x14ac:dyDescent="0.25">
      <c r="A4" s="1"/>
      <c r="B4" s="1"/>
      <c r="C4" s="47" t="s">
        <v>95</v>
      </c>
      <c r="D4" s="65">
        <f>'Detail YR 1 - Based on 340'!O6</f>
        <v>22183.98</v>
      </c>
      <c r="E4" s="13">
        <f>'Detail YR 2 - Based on 340'!O6</f>
        <v>24402.378000000001</v>
      </c>
      <c r="F4" s="1"/>
      <c r="G4" s="1"/>
      <c r="H4" s="1"/>
      <c r="I4" s="1"/>
      <c r="J4" s="1"/>
      <c r="K4" s="1"/>
      <c r="L4" s="1"/>
    </row>
    <row r="5" spans="1:12" s="9" customFormat="1" ht="20.100000000000001" customHeight="1" x14ac:dyDescent="0.25">
      <c r="A5" s="1"/>
      <c r="B5" s="1"/>
      <c r="C5" s="10" t="s">
        <v>96</v>
      </c>
      <c r="D5" s="65">
        <f>'Detail YR 1 - Based on 340'!O7</f>
        <v>974.61</v>
      </c>
      <c r="E5" s="14">
        <f>'Detail YR 2 - Based on 340'!O7</f>
        <v>1072.0710000000001</v>
      </c>
      <c r="F5" s="1"/>
      <c r="G5" s="1"/>
      <c r="H5" s="1"/>
      <c r="I5" s="1"/>
      <c r="J5" s="1"/>
      <c r="K5" s="1"/>
      <c r="L5" s="1"/>
    </row>
    <row r="6" spans="1:12" s="9" customFormat="1" ht="20.100000000000001" customHeight="1" x14ac:dyDescent="0.25">
      <c r="A6" s="1"/>
      <c r="B6" s="1"/>
      <c r="C6" s="10" t="s">
        <v>12</v>
      </c>
      <c r="D6" s="65">
        <f>'Detail YR 1 - Based on 340'!O9</f>
        <v>265.20000000000005</v>
      </c>
      <c r="E6" s="14">
        <f>'Detail YR 2 - Based on 340'!O9</f>
        <v>265.20000000000005</v>
      </c>
      <c r="F6" s="1"/>
      <c r="G6" s="1"/>
      <c r="H6" s="1"/>
      <c r="I6" s="1"/>
      <c r="J6" s="1"/>
      <c r="K6" s="1"/>
      <c r="L6" s="1"/>
    </row>
    <row r="7" spans="1:12" s="9" customFormat="1" ht="20.100000000000001" customHeight="1" x14ac:dyDescent="0.25">
      <c r="A7" s="1"/>
      <c r="B7" s="1"/>
      <c r="C7" s="10" t="s">
        <v>97</v>
      </c>
      <c r="D7" s="65">
        <f>'Detail YR 1 - Based on 340'!O10</f>
        <v>849.79600000000005</v>
      </c>
      <c r="E7" s="14">
        <f>'Detail YR 2 - Based on 340'!O10</f>
        <v>883.78784000000007</v>
      </c>
      <c r="F7" s="1"/>
      <c r="G7" s="1"/>
      <c r="H7" s="1"/>
      <c r="I7" s="1"/>
      <c r="J7" s="1"/>
      <c r="K7" s="1"/>
      <c r="L7" s="1"/>
    </row>
    <row r="8" spans="1:12" s="9" customFormat="1" ht="20.100000000000001" customHeight="1" x14ac:dyDescent="0.25">
      <c r="A8" s="1"/>
      <c r="B8" s="1"/>
      <c r="C8" s="10" t="s">
        <v>159</v>
      </c>
      <c r="D8" s="65">
        <f>'Detail YR 1 - Based on 340'!O11</f>
        <v>4248.9800000000005</v>
      </c>
      <c r="E8" s="14">
        <f>'Detail YR 2 - Based on 340'!O11</f>
        <v>4418.9392000000007</v>
      </c>
      <c r="F8" s="1"/>
      <c r="G8" s="1"/>
      <c r="H8" s="1"/>
      <c r="I8" s="1"/>
      <c r="J8" s="1"/>
      <c r="K8" s="1"/>
      <c r="L8" s="1"/>
    </row>
    <row r="9" spans="1:12" s="9" customFormat="1" ht="20.100000000000001" customHeight="1" thickBot="1" x14ac:dyDescent="0.3">
      <c r="A9" s="1"/>
      <c r="B9" s="1"/>
      <c r="C9" s="72" t="s">
        <v>0</v>
      </c>
      <c r="D9" s="73">
        <f>SUM(D4:D8)</f>
        <v>28522.565999999999</v>
      </c>
      <c r="E9" s="74">
        <f>SUM(E4:E8)</f>
        <v>31042.376040000003</v>
      </c>
      <c r="F9" s="1"/>
      <c r="G9" s="1"/>
      <c r="H9" s="1"/>
      <c r="I9" s="1"/>
      <c r="J9" s="1"/>
      <c r="K9" s="1"/>
      <c r="L9" s="1"/>
    </row>
    <row r="10" spans="1:12" s="9" customFormat="1" ht="20.100000000000001" customHeight="1" x14ac:dyDescent="0.25">
      <c r="A10" s="1"/>
      <c r="B10" s="1"/>
      <c r="C10" s="1"/>
      <c r="D10" s="1"/>
      <c r="E10" s="1"/>
      <c r="F10" s="1"/>
      <c r="G10" s="1"/>
      <c r="H10" s="1"/>
      <c r="I10" s="1"/>
      <c r="J10" s="1"/>
      <c r="K10" s="1"/>
      <c r="L10" s="1"/>
    </row>
    <row r="11" spans="1:12" s="9" customFormat="1" ht="20.100000000000001" customHeight="1" x14ac:dyDescent="0.25">
      <c r="A11" s="1"/>
      <c r="B11" s="1"/>
      <c r="C11" s="1"/>
      <c r="D11" s="1"/>
      <c r="E11" s="1"/>
      <c r="F11" s="1"/>
      <c r="G11" s="1"/>
      <c r="H11" s="1"/>
      <c r="I11" s="1"/>
      <c r="J11" s="1"/>
      <c r="K11" s="1"/>
      <c r="L11" s="1"/>
    </row>
    <row r="12" spans="1:12" s="9" customFormat="1" ht="20.100000000000001" customHeight="1" x14ac:dyDescent="0.25">
      <c r="A12" s="1"/>
      <c r="B12" s="1"/>
      <c r="C12" s="1"/>
      <c r="D12" s="1"/>
      <c r="E12" s="1"/>
      <c r="F12" s="1"/>
      <c r="G12" s="1"/>
      <c r="H12" s="1"/>
      <c r="I12" s="1"/>
      <c r="J12" s="1"/>
      <c r="K12" s="1"/>
      <c r="L12" s="1"/>
    </row>
    <row r="13" spans="1:12" s="9" customFormat="1" ht="20.100000000000001" customHeight="1" x14ac:dyDescent="0.25">
      <c r="A13" s="1"/>
      <c r="B13" s="1"/>
      <c r="C13" s="1"/>
      <c r="D13" s="1"/>
      <c r="E13" s="1"/>
      <c r="F13" s="1"/>
      <c r="G13" s="1"/>
      <c r="H13" s="1"/>
      <c r="I13" s="1"/>
      <c r="J13" s="1"/>
      <c r="K13" s="1"/>
      <c r="L13" s="1"/>
    </row>
    <row r="14" spans="1:12" s="9" customFormat="1" ht="20.100000000000001" customHeight="1" x14ac:dyDescent="0.25">
      <c r="A14" s="1"/>
      <c r="B14" s="1"/>
      <c r="C14" s="1"/>
      <c r="D14" s="1"/>
      <c r="E14" s="1"/>
      <c r="F14" s="1"/>
      <c r="G14" s="1"/>
      <c r="H14" s="1"/>
      <c r="I14" s="1"/>
      <c r="J14" s="1"/>
      <c r="K14" s="1"/>
      <c r="L14" s="1"/>
    </row>
    <row r="15" spans="1:12" s="9" customFormat="1" ht="20.100000000000001" customHeight="1" x14ac:dyDescent="0.25">
      <c r="A15" s="1"/>
      <c r="B15" s="1"/>
      <c r="C15" s="1"/>
      <c r="D15" s="1"/>
      <c r="E15" s="1"/>
      <c r="F15" s="1"/>
      <c r="G15" s="1"/>
      <c r="H15" s="1"/>
      <c r="I15" s="1"/>
      <c r="J15" s="1"/>
      <c r="K15" s="1"/>
      <c r="L15" s="1"/>
    </row>
    <row r="16" spans="1:12" s="9" customFormat="1" ht="20.100000000000001" customHeight="1" x14ac:dyDescent="0.25">
      <c r="A16" s="1"/>
      <c r="B16" s="1"/>
      <c r="C16" s="1"/>
      <c r="D16" s="1"/>
      <c r="E16" s="1"/>
      <c r="F16" s="1"/>
      <c r="G16" s="1"/>
      <c r="H16" s="1"/>
      <c r="I16" s="1"/>
      <c r="J16" s="1"/>
      <c r="K16" s="1"/>
      <c r="L16" s="1"/>
    </row>
    <row r="17" spans="1:12" s="9" customFormat="1" ht="20.100000000000001" customHeight="1" x14ac:dyDescent="0.25">
      <c r="A17" s="1"/>
      <c r="B17" s="1"/>
      <c r="C17" s="1"/>
      <c r="D17" s="1"/>
      <c r="E17" s="1"/>
      <c r="F17" s="1"/>
      <c r="G17" s="1"/>
      <c r="H17" s="1"/>
      <c r="I17" s="1"/>
      <c r="J17" s="1"/>
      <c r="K17" s="1"/>
      <c r="L17" s="1"/>
    </row>
    <row r="18" spans="1:12" s="9" customFormat="1" ht="20.100000000000001" customHeight="1" x14ac:dyDescent="0.25">
      <c r="A18" s="1"/>
      <c r="B18" s="1"/>
      <c r="C18" s="1"/>
      <c r="D18" s="1"/>
      <c r="E18" s="1"/>
      <c r="F18" s="1"/>
      <c r="G18" s="1"/>
      <c r="H18" s="1"/>
      <c r="I18" s="1"/>
      <c r="J18" s="1"/>
      <c r="K18" s="1"/>
      <c r="L18" s="1"/>
    </row>
    <row r="19" spans="1:12" s="9" customFormat="1" ht="20.100000000000001" customHeight="1" x14ac:dyDescent="0.25">
      <c r="A19" s="1"/>
      <c r="B19" s="1"/>
      <c r="C19" s="1"/>
      <c r="D19" s="1"/>
      <c r="E19" s="1"/>
      <c r="F19" s="1"/>
      <c r="G19" s="1"/>
      <c r="H19" s="1"/>
      <c r="I19" s="1"/>
      <c r="J19" s="1"/>
      <c r="K19" s="1"/>
      <c r="L19" s="1"/>
    </row>
    <row r="20" spans="1:12" s="9" customFormat="1" ht="20.100000000000001" customHeight="1" x14ac:dyDescent="0.25">
      <c r="A20" s="1"/>
      <c r="B20" s="1"/>
      <c r="C20" s="1"/>
      <c r="D20" s="1"/>
      <c r="E20" s="1"/>
      <c r="F20" s="1"/>
      <c r="G20" s="1"/>
      <c r="H20" s="1"/>
      <c r="I20" s="1"/>
      <c r="J20" s="1"/>
      <c r="K20" s="1"/>
      <c r="L20" s="1"/>
    </row>
    <row r="21" spans="1:12" s="9" customFormat="1" ht="20.100000000000001" customHeight="1" x14ac:dyDescent="0.25">
      <c r="A21" s="1"/>
      <c r="B21" s="1"/>
      <c r="C21" s="1"/>
      <c r="D21" s="1"/>
      <c r="E21" s="1"/>
      <c r="F21" s="1"/>
      <c r="G21" s="1"/>
      <c r="H21" s="1"/>
      <c r="I21" s="1"/>
      <c r="J21" s="1"/>
      <c r="K21" s="1"/>
      <c r="L21" s="1"/>
    </row>
    <row r="22" spans="1:12" s="9" customFormat="1" ht="20.100000000000001" customHeight="1" x14ac:dyDescent="0.25">
      <c r="A22" s="1"/>
      <c r="B22" s="1"/>
      <c r="C22" s="1"/>
      <c r="D22" s="1"/>
      <c r="E22" s="1"/>
      <c r="F22" s="1"/>
      <c r="G22" s="1"/>
      <c r="H22" s="1"/>
      <c r="I22" s="1"/>
      <c r="J22" s="1"/>
      <c r="K22" s="1"/>
      <c r="L22" s="1"/>
    </row>
    <row r="23" spans="1:12" s="9" customFormat="1" ht="20.100000000000001" customHeight="1" x14ac:dyDescent="0.25">
      <c r="A23" s="1"/>
      <c r="B23" s="1"/>
      <c r="C23" s="1"/>
      <c r="D23" s="1"/>
      <c r="E23" s="1"/>
      <c r="F23" s="1"/>
      <c r="G23" s="1"/>
      <c r="H23" s="1"/>
      <c r="I23" s="1"/>
      <c r="J23" s="1"/>
      <c r="K23" s="1"/>
      <c r="L23" s="1"/>
    </row>
    <row r="24" spans="1:12" s="9" customFormat="1" ht="20.100000000000001" customHeight="1" x14ac:dyDescent="0.25">
      <c r="A24" s="1"/>
      <c r="B24" s="1"/>
      <c r="C24" s="1"/>
      <c r="D24" s="1"/>
      <c r="E24" s="1"/>
      <c r="F24" s="1"/>
      <c r="G24" s="1"/>
      <c r="H24" s="1"/>
      <c r="I24" s="1"/>
      <c r="J24" s="1"/>
      <c r="K24" s="1"/>
      <c r="L24" s="1"/>
    </row>
    <row r="25" spans="1:12" s="9" customFormat="1" ht="20.100000000000001" customHeight="1" x14ac:dyDescent="0.25">
      <c r="A25" s="1"/>
      <c r="B25" s="1"/>
      <c r="C25" s="1"/>
      <c r="D25" s="1"/>
      <c r="E25" s="1"/>
      <c r="F25" s="1"/>
      <c r="G25" s="1"/>
      <c r="H25" s="1"/>
      <c r="I25" s="1"/>
      <c r="J25" s="1"/>
      <c r="K25" s="1"/>
      <c r="L25" s="1"/>
    </row>
    <row r="26" spans="1:12" s="9" customFormat="1" ht="20.100000000000001" customHeight="1" x14ac:dyDescent="0.25">
      <c r="A26" s="1"/>
      <c r="B26" s="1"/>
      <c r="C26" s="1"/>
      <c r="D26" s="1"/>
      <c r="E26" s="1"/>
      <c r="F26" s="1"/>
      <c r="G26" s="1"/>
      <c r="H26" s="1"/>
      <c r="I26" s="1"/>
      <c r="J26" s="1"/>
      <c r="K26" s="1"/>
      <c r="L26" s="1"/>
    </row>
    <row r="27" spans="1:12" s="9" customFormat="1" ht="20.100000000000001" customHeight="1" x14ac:dyDescent="0.25">
      <c r="A27" s="1"/>
      <c r="B27" s="1"/>
      <c r="C27" s="1"/>
      <c r="D27" s="1"/>
      <c r="E27" s="1"/>
      <c r="F27" s="1"/>
      <c r="G27" s="1"/>
      <c r="H27" s="1"/>
      <c r="I27" s="1"/>
      <c r="J27" s="1"/>
      <c r="K27" s="1"/>
      <c r="L27" s="1"/>
    </row>
    <row r="28" spans="1:12" s="9" customFormat="1" ht="20.100000000000001" customHeight="1" x14ac:dyDescent="0.25">
      <c r="A28" s="1"/>
      <c r="B28" s="1"/>
      <c r="C28" s="1"/>
      <c r="D28" s="1"/>
      <c r="E28" s="1"/>
      <c r="F28" s="1"/>
      <c r="G28" s="1"/>
      <c r="H28" s="1"/>
      <c r="I28" s="1"/>
      <c r="J28" s="1"/>
      <c r="K28" s="1"/>
      <c r="L28" s="1"/>
    </row>
    <row r="29" spans="1:12" s="9" customFormat="1" ht="20.100000000000001" customHeight="1" x14ac:dyDescent="0.25">
      <c r="A29" s="1"/>
      <c r="B29" s="1"/>
      <c r="C29" s="1"/>
      <c r="D29" s="1"/>
      <c r="E29" s="1"/>
      <c r="F29" s="1"/>
      <c r="G29" s="1"/>
      <c r="H29" s="1"/>
      <c r="I29" s="1"/>
      <c r="J29" s="1"/>
      <c r="K29" s="1"/>
      <c r="L29" s="1"/>
    </row>
    <row r="30" spans="1:12" s="9" customFormat="1" ht="20.100000000000001" customHeight="1" x14ac:dyDescent="0.25">
      <c r="A30" s="1"/>
      <c r="B30" s="1"/>
      <c r="C30" s="1"/>
      <c r="D30" s="1"/>
      <c r="E30" s="1"/>
      <c r="F30" s="1"/>
      <c r="G30" s="1"/>
      <c r="H30" s="1"/>
      <c r="I30" s="1"/>
      <c r="J30" s="1"/>
      <c r="K30" s="1"/>
      <c r="L30" s="1"/>
    </row>
    <row r="31" spans="1:12" s="9" customFormat="1" ht="20.100000000000001" customHeight="1" x14ac:dyDescent="0.25">
      <c r="A31" s="1"/>
      <c r="B31" s="1"/>
      <c r="C31" s="1"/>
      <c r="D31" s="1"/>
      <c r="E31" s="1"/>
      <c r="F31" s="1"/>
      <c r="G31" s="1"/>
      <c r="H31" s="1"/>
      <c r="I31" s="1"/>
      <c r="J31" s="1"/>
      <c r="K31" s="1"/>
      <c r="L31" s="1"/>
    </row>
    <row r="32" spans="1:12" s="9" customFormat="1" ht="20.100000000000001" customHeight="1" x14ac:dyDescent="0.25">
      <c r="A32" s="1"/>
      <c r="B32" s="1"/>
      <c r="C32" s="1"/>
      <c r="D32" s="1"/>
      <c r="E32" s="1"/>
      <c r="F32" s="1"/>
      <c r="G32" s="1"/>
      <c r="H32" s="1"/>
      <c r="I32" s="1"/>
      <c r="J32" s="1"/>
      <c r="K32" s="1"/>
      <c r="L32" s="1"/>
    </row>
    <row r="33" spans="1:12" s="9" customFormat="1" ht="20.100000000000001" customHeight="1" x14ac:dyDescent="0.25">
      <c r="A33" s="1"/>
      <c r="B33" s="1"/>
      <c r="C33" s="1"/>
      <c r="D33" s="1"/>
      <c r="E33" s="1"/>
      <c r="F33" s="1"/>
      <c r="G33" s="1"/>
      <c r="H33" s="1"/>
      <c r="I33" s="1"/>
      <c r="J33" s="1"/>
      <c r="K33" s="1"/>
      <c r="L33" s="1"/>
    </row>
    <row r="34" spans="1:12" s="9" customFormat="1" ht="20.100000000000001" customHeight="1" x14ac:dyDescent="0.25">
      <c r="A34" s="1"/>
      <c r="B34" s="1"/>
      <c r="C34" s="1"/>
      <c r="D34" s="1"/>
      <c r="E34" s="1"/>
      <c r="F34" s="1"/>
      <c r="G34" s="1"/>
      <c r="H34" s="1"/>
      <c r="I34" s="1"/>
      <c r="J34" s="1"/>
      <c r="K34" s="1"/>
      <c r="L34" s="1"/>
    </row>
    <row r="35" spans="1:12" s="9" customFormat="1" ht="20.100000000000001" customHeight="1" x14ac:dyDescent="0.25">
      <c r="A35" s="1"/>
      <c r="B35" s="1"/>
      <c r="C35" s="1"/>
      <c r="D35" s="1"/>
      <c r="E35" s="1"/>
      <c r="F35" s="1"/>
      <c r="G35" s="1"/>
      <c r="H35" s="1"/>
      <c r="I35" s="1"/>
      <c r="J35" s="1"/>
      <c r="K35" s="1"/>
      <c r="L35" s="1"/>
    </row>
    <row r="36" spans="1:12" s="9" customFormat="1" ht="20.100000000000001" customHeight="1" x14ac:dyDescent="0.25">
      <c r="A36" s="1"/>
      <c r="B36" s="1"/>
      <c r="C36" s="1"/>
      <c r="D36" s="1"/>
      <c r="E36" s="1"/>
      <c r="F36" s="1"/>
      <c r="G36" s="1"/>
      <c r="H36" s="1"/>
      <c r="I36" s="1"/>
      <c r="J36" s="1"/>
      <c r="K36" s="1"/>
      <c r="L36" s="1"/>
    </row>
    <row r="37" spans="1:12" s="9" customFormat="1" ht="20.100000000000001" customHeight="1" x14ac:dyDescent="0.25">
      <c r="A37" s="1"/>
      <c r="B37" s="1"/>
      <c r="C37" s="1"/>
      <c r="D37" s="1"/>
      <c r="E37" s="1"/>
      <c r="F37" s="1"/>
      <c r="G37" s="1"/>
      <c r="H37" s="1"/>
      <c r="I37" s="1"/>
      <c r="J37" s="1"/>
      <c r="K37" s="1"/>
      <c r="L37" s="1"/>
    </row>
    <row r="38" spans="1:12" s="9" customFormat="1" ht="20.100000000000001" customHeight="1" x14ac:dyDescent="0.25">
      <c r="A38" s="1"/>
      <c r="B38" s="1"/>
      <c r="C38" s="1"/>
      <c r="D38" s="1"/>
      <c r="E38" s="1"/>
      <c r="F38" s="1"/>
      <c r="G38" s="1"/>
      <c r="H38" s="1"/>
      <c r="I38" s="1"/>
      <c r="J38" s="1"/>
      <c r="K38" s="1"/>
      <c r="L38" s="1"/>
    </row>
    <row r="39" spans="1:12" s="9" customFormat="1" ht="20.100000000000001" customHeight="1" x14ac:dyDescent="0.25">
      <c r="A39" s="1"/>
      <c r="B39" s="1"/>
      <c r="C39" s="1"/>
      <c r="D39" s="1"/>
      <c r="E39" s="1"/>
      <c r="F39" s="1"/>
      <c r="G39" s="1"/>
      <c r="H39" s="1"/>
      <c r="I39" s="1"/>
      <c r="J39" s="1"/>
      <c r="K39" s="1"/>
      <c r="L39" s="1"/>
    </row>
    <row r="40" spans="1:12" s="9" customFormat="1" x14ac:dyDescent="0.25">
      <c r="A40" s="1"/>
      <c r="B40" s="1"/>
      <c r="C40" s="1"/>
      <c r="D40" s="1"/>
      <c r="E40" s="1"/>
      <c r="F40" s="1"/>
      <c r="G40" s="1"/>
      <c r="H40" s="1"/>
      <c r="I40" s="1"/>
      <c r="J40" s="1"/>
      <c r="K40" s="1"/>
      <c r="L40" s="1"/>
    </row>
    <row r="41" spans="1:12" s="9" customFormat="1" x14ac:dyDescent="0.25">
      <c r="A41" s="1"/>
      <c r="B41" s="1"/>
      <c r="C41" s="1"/>
      <c r="D41" s="1"/>
      <c r="E41" s="1"/>
      <c r="F41" s="1"/>
      <c r="G41" s="1"/>
      <c r="H41" s="1"/>
      <c r="I41" s="1"/>
      <c r="J41" s="1"/>
      <c r="K41" s="1"/>
      <c r="L41" s="1"/>
    </row>
    <row r="42" spans="1:12" s="9" customFormat="1" x14ac:dyDescent="0.25">
      <c r="A42" s="1"/>
      <c r="B42" s="1"/>
      <c r="C42" s="1"/>
      <c r="D42" s="1"/>
      <c r="E42" s="1"/>
      <c r="F42" s="1"/>
      <c r="G42" s="1"/>
      <c r="H42" s="1"/>
      <c r="I42" s="1"/>
      <c r="J42" s="1"/>
      <c r="K42" s="1"/>
      <c r="L42" s="1"/>
    </row>
    <row r="43" spans="1:12" s="9" customFormat="1" x14ac:dyDescent="0.25">
      <c r="A43" s="1"/>
      <c r="B43" s="1"/>
      <c r="C43" s="1"/>
      <c r="D43" s="1"/>
      <c r="E43" s="1"/>
      <c r="F43" s="1"/>
      <c r="G43" s="1"/>
      <c r="H43" s="1"/>
      <c r="I43" s="1"/>
      <c r="J43" s="1"/>
      <c r="K43" s="1"/>
      <c r="L43" s="1"/>
    </row>
    <row r="44" spans="1:12" s="9" customFormat="1" x14ac:dyDescent="0.25">
      <c r="A44" s="1"/>
      <c r="B44" s="1"/>
      <c r="C44" s="1"/>
      <c r="D44" s="1"/>
      <c r="E44" s="1"/>
      <c r="F44" s="1"/>
      <c r="G44" s="1"/>
      <c r="H44" s="1"/>
      <c r="I44" s="1"/>
      <c r="J44" s="1"/>
      <c r="K44" s="1"/>
      <c r="L44" s="1"/>
    </row>
    <row r="45" spans="1:12" s="9" customFormat="1" x14ac:dyDescent="0.25">
      <c r="A45" s="1"/>
      <c r="B45" s="1"/>
      <c r="C45" s="1"/>
      <c r="D45" s="1"/>
      <c r="E45" s="1"/>
      <c r="F45" s="1"/>
      <c r="G45" s="1"/>
      <c r="H45" s="1"/>
      <c r="I45" s="1"/>
      <c r="J45" s="1"/>
      <c r="K45" s="1"/>
      <c r="L45" s="1"/>
    </row>
    <row r="46" spans="1:12" s="9" customFormat="1" x14ac:dyDescent="0.25">
      <c r="A46" s="1"/>
      <c r="B46" s="1"/>
      <c r="C46" s="1"/>
      <c r="D46" s="1"/>
      <c r="E46" s="1"/>
      <c r="F46" s="1"/>
      <c r="G46" s="1"/>
      <c r="H46" s="1"/>
      <c r="I46" s="1"/>
      <c r="J46" s="1"/>
      <c r="K46" s="1"/>
      <c r="L46" s="1"/>
    </row>
    <row r="47" spans="1:12" s="9" customFormat="1" x14ac:dyDescent="0.25">
      <c r="A47" s="1"/>
      <c r="B47" s="1"/>
      <c r="C47" s="1"/>
      <c r="D47" s="1"/>
      <c r="E47" s="1"/>
      <c r="F47" s="1"/>
      <c r="G47" s="1"/>
      <c r="H47" s="1"/>
      <c r="I47" s="1"/>
      <c r="J47" s="1"/>
      <c r="K47" s="1"/>
      <c r="L47" s="1"/>
    </row>
    <row r="48" spans="1:12" s="9" customFormat="1" x14ac:dyDescent="0.25">
      <c r="A48" s="1"/>
      <c r="B48" s="1"/>
      <c r="C48" s="1"/>
      <c r="D48" s="1"/>
      <c r="E48" s="1"/>
      <c r="F48" s="1"/>
      <c r="G48" s="1"/>
      <c r="H48" s="1"/>
      <c r="I48" s="1"/>
      <c r="J48" s="1"/>
      <c r="K48" s="1"/>
      <c r="L48" s="1"/>
    </row>
    <row r="49" spans="1:12" s="9" customFormat="1" x14ac:dyDescent="0.25">
      <c r="A49" s="1"/>
      <c r="B49" s="1"/>
      <c r="C49" s="1"/>
      <c r="D49" s="1"/>
      <c r="E49" s="1"/>
      <c r="F49" s="1"/>
      <c r="G49" s="1"/>
      <c r="H49" s="1"/>
      <c r="I49" s="1"/>
      <c r="J49" s="1"/>
      <c r="K49" s="1"/>
      <c r="L49" s="1"/>
    </row>
    <row r="50" spans="1:12" s="9" customFormat="1" x14ac:dyDescent="0.25">
      <c r="A50" s="1"/>
      <c r="B50" s="1"/>
      <c r="C50" s="1"/>
      <c r="D50" s="1"/>
      <c r="E50" s="1"/>
      <c r="F50" s="1"/>
      <c r="G50" s="1"/>
      <c r="H50" s="1"/>
      <c r="I50" s="1"/>
      <c r="J50" s="1"/>
      <c r="K50" s="1"/>
      <c r="L50" s="1"/>
    </row>
    <row r="51" spans="1:12" s="9" customFormat="1" x14ac:dyDescent="0.25">
      <c r="A51" s="1"/>
      <c r="B51" s="1"/>
      <c r="C51" s="1"/>
      <c r="D51" s="1"/>
      <c r="E51" s="1"/>
      <c r="F51" s="1"/>
      <c r="G51" s="1"/>
      <c r="H51" s="1"/>
      <c r="I51" s="1"/>
      <c r="J51" s="1"/>
      <c r="K51" s="1"/>
      <c r="L51" s="1"/>
    </row>
    <row r="52" spans="1:12" s="9" customFormat="1" x14ac:dyDescent="0.25">
      <c r="A52" s="1"/>
      <c r="B52" s="1"/>
      <c r="C52" s="1"/>
      <c r="D52" s="1"/>
      <c r="E52" s="1"/>
      <c r="F52" s="1"/>
      <c r="G52" s="1"/>
      <c r="H52" s="1"/>
      <c r="I52" s="1"/>
      <c r="J52" s="1"/>
      <c r="K52" s="1"/>
      <c r="L52" s="1"/>
    </row>
  </sheetData>
  <pageMargins left="0.7" right="0.7"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showGridLines="0" tabSelected="1" topLeftCell="A37" workbookViewId="0"/>
  </sheetViews>
  <sheetFormatPr defaultColWidth="11" defaultRowHeight="15" x14ac:dyDescent="0.25"/>
  <cols>
    <col min="1" max="1" width="3.375" style="1" customWidth="1"/>
    <col min="2" max="2" width="2.375" style="1" customWidth="1"/>
    <col min="3" max="3" width="46.75" style="1" customWidth="1"/>
    <col min="4" max="4" width="13.875" style="1" customWidth="1"/>
    <col min="5" max="5" width="19.375" style="1" customWidth="1"/>
    <col min="6" max="6" width="13.625" style="1" customWidth="1"/>
    <col min="7" max="7" width="13.5" style="1" bestFit="1" customWidth="1"/>
    <col min="8" max="13" width="8.625" style="1" customWidth="1"/>
    <col min="14" max="16384" width="11" style="1"/>
  </cols>
  <sheetData>
    <row r="1" spans="1:13" x14ac:dyDescent="0.25">
      <c r="C1" s="1" t="s">
        <v>185</v>
      </c>
      <c r="D1" s="2">
        <f>'Detail YR 1 - Based on 340'!C11</f>
        <v>8.5</v>
      </c>
    </row>
    <row r="2" spans="1:13" x14ac:dyDescent="0.25">
      <c r="D2" s="2"/>
    </row>
    <row r="3" spans="1:13" s="4" customFormat="1" ht="15.75" thickBot="1" x14ac:dyDescent="0.3">
      <c r="A3" s="1"/>
      <c r="B3" s="1"/>
      <c r="C3" s="3" t="s">
        <v>5</v>
      </c>
      <c r="D3" s="1"/>
      <c r="E3" s="1"/>
      <c r="F3" s="1"/>
      <c r="G3" s="1"/>
      <c r="H3" s="1"/>
      <c r="I3" s="1"/>
      <c r="J3" s="1"/>
      <c r="K3" s="1"/>
      <c r="L3" s="1"/>
      <c r="M3" s="1"/>
    </row>
    <row r="4" spans="1:13" s="9" customFormat="1" ht="15.75" thickBot="1" x14ac:dyDescent="0.3">
      <c r="A4" s="1"/>
      <c r="B4" s="1"/>
      <c r="C4" s="5" t="s">
        <v>98</v>
      </c>
      <c r="D4" s="6" t="s">
        <v>42</v>
      </c>
      <c r="E4" s="7" t="s">
        <v>99</v>
      </c>
      <c r="F4" s="8" t="s">
        <v>100</v>
      </c>
      <c r="G4" s="1"/>
      <c r="H4" s="1"/>
      <c r="I4" s="1"/>
      <c r="J4" s="1"/>
      <c r="K4" s="1"/>
      <c r="L4" s="1"/>
      <c r="M4" s="1"/>
    </row>
    <row r="5" spans="1:13" s="9" customFormat="1" x14ac:dyDescent="0.25">
      <c r="A5" s="1"/>
      <c r="B5" s="1"/>
      <c r="C5" s="10" t="s">
        <v>101</v>
      </c>
      <c r="D5" s="11">
        <f>D1*(4*1.33)</f>
        <v>45.22</v>
      </c>
      <c r="E5" s="12">
        <v>18.3</v>
      </c>
      <c r="F5" s="13">
        <f>D5*E5</f>
        <v>827.52600000000007</v>
      </c>
      <c r="G5" s="1"/>
      <c r="H5" s="1"/>
      <c r="I5" s="1"/>
      <c r="J5" s="1"/>
      <c r="K5" s="1"/>
      <c r="L5" s="1"/>
      <c r="M5" s="1"/>
    </row>
    <row r="6" spans="1:13" s="9" customFormat="1" x14ac:dyDescent="0.25">
      <c r="A6" s="1"/>
      <c r="B6" s="1"/>
      <c r="C6" s="10" t="s">
        <v>102</v>
      </c>
      <c r="D6" s="11">
        <f>D1*(4*1.33)</f>
        <v>45.22</v>
      </c>
      <c r="E6" s="12">
        <v>23.25</v>
      </c>
      <c r="F6" s="14">
        <f>D6*E6</f>
        <v>1051.365</v>
      </c>
      <c r="G6" s="1"/>
      <c r="H6" s="1"/>
      <c r="I6" s="1"/>
      <c r="J6" s="1"/>
      <c r="K6" s="1"/>
      <c r="L6" s="1"/>
      <c r="M6" s="1"/>
    </row>
    <row r="7" spans="1:13" s="9" customFormat="1" x14ac:dyDescent="0.25">
      <c r="A7" s="1"/>
      <c r="B7" s="1"/>
      <c r="C7" s="10" t="s">
        <v>103</v>
      </c>
      <c r="D7" s="11">
        <f>D1*(4*1.33)</f>
        <v>45.22</v>
      </c>
      <c r="E7" s="12">
        <v>22.4</v>
      </c>
      <c r="F7" s="14">
        <f t="shared" ref="F7:F13" si="0">D7*E7</f>
        <v>1012.9279999999999</v>
      </c>
      <c r="G7" s="1"/>
      <c r="H7" s="1"/>
      <c r="I7" s="1"/>
      <c r="J7" s="1"/>
      <c r="K7" s="1"/>
      <c r="L7" s="1"/>
      <c r="M7" s="1"/>
    </row>
    <row r="8" spans="1:13" s="9" customFormat="1" x14ac:dyDescent="0.25">
      <c r="A8" s="1"/>
      <c r="B8" s="1"/>
      <c r="C8" s="10" t="s">
        <v>104</v>
      </c>
      <c r="D8" s="11">
        <f>D1*(4*1.33)</f>
        <v>45.22</v>
      </c>
      <c r="E8" s="12">
        <v>27.55</v>
      </c>
      <c r="F8" s="14">
        <f t="shared" si="0"/>
        <v>1245.8109999999999</v>
      </c>
      <c r="G8" s="1"/>
      <c r="H8" s="1"/>
      <c r="I8" s="1"/>
      <c r="J8" s="1"/>
      <c r="K8" s="1"/>
      <c r="L8" s="1"/>
      <c r="M8" s="1"/>
    </row>
    <row r="9" spans="1:13" s="9" customFormat="1" x14ac:dyDescent="0.25">
      <c r="A9" s="1"/>
      <c r="B9" s="1"/>
      <c r="C9" s="10" t="s">
        <v>105</v>
      </c>
      <c r="D9" s="11">
        <f>D1*1.33</f>
        <v>11.305</v>
      </c>
      <c r="E9" s="12">
        <v>85</v>
      </c>
      <c r="F9" s="14">
        <f t="shared" si="0"/>
        <v>960.92499999999995</v>
      </c>
      <c r="G9" s="1"/>
      <c r="H9" s="1"/>
      <c r="I9" s="1"/>
      <c r="J9" s="1"/>
      <c r="K9" s="1"/>
      <c r="L9" s="1"/>
      <c r="M9" s="1"/>
    </row>
    <row r="10" spans="1:13" s="9" customFormat="1" x14ac:dyDescent="0.25">
      <c r="A10" s="1"/>
      <c r="B10" s="1"/>
      <c r="C10" s="10" t="s">
        <v>106</v>
      </c>
      <c r="D10" s="11">
        <f>D1*1.33</f>
        <v>11.305</v>
      </c>
      <c r="E10" s="12">
        <v>140</v>
      </c>
      <c r="F10" s="14">
        <f t="shared" si="0"/>
        <v>1582.7</v>
      </c>
      <c r="G10" s="1"/>
      <c r="H10" s="1"/>
      <c r="I10" s="1"/>
      <c r="J10" s="1"/>
      <c r="K10" s="1"/>
      <c r="L10" s="1"/>
      <c r="M10" s="1"/>
    </row>
    <row r="11" spans="1:13" s="9" customFormat="1" x14ac:dyDescent="0.25">
      <c r="A11" s="1"/>
      <c r="B11" s="1"/>
      <c r="C11" s="10" t="s">
        <v>107</v>
      </c>
      <c r="D11" s="11">
        <f>D1*(4*1.33)</f>
        <v>45.22</v>
      </c>
      <c r="E11" s="12">
        <v>4.7</v>
      </c>
      <c r="F11" s="14">
        <f t="shared" si="0"/>
        <v>212.53399999999999</v>
      </c>
      <c r="G11" s="1"/>
      <c r="H11" s="1"/>
      <c r="I11" s="1"/>
      <c r="J11" s="1"/>
      <c r="K11" s="1"/>
      <c r="L11" s="1"/>
      <c r="M11" s="1"/>
    </row>
    <row r="12" spans="1:13" s="9" customFormat="1" x14ac:dyDescent="0.25">
      <c r="A12" s="1"/>
      <c r="B12" s="1"/>
      <c r="C12" s="10" t="s">
        <v>108</v>
      </c>
      <c r="D12" s="11">
        <f>D1*1.33</f>
        <v>11.305</v>
      </c>
      <c r="E12" s="12">
        <v>23.77</v>
      </c>
      <c r="F12" s="14">
        <f t="shared" si="0"/>
        <v>268.71985000000001</v>
      </c>
      <c r="G12" s="1"/>
      <c r="H12" s="1"/>
      <c r="I12" s="1"/>
      <c r="J12" s="1"/>
      <c r="K12" s="1"/>
      <c r="L12" s="1"/>
      <c r="M12" s="1"/>
    </row>
    <row r="13" spans="1:13" s="9" customFormat="1" x14ac:dyDescent="0.25">
      <c r="A13" s="1"/>
      <c r="B13" s="1"/>
      <c r="C13" s="10" t="s">
        <v>109</v>
      </c>
      <c r="D13" s="11">
        <f>D1*1.33</f>
        <v>11.305</v>
      </c>
      <c r="E13" s="12">
        <v>97</v>
      </c>
      <c r="F13" s="14">
        <f t="shared" si="0"/>
        <v>1096.585</v>
      </c>
      <c r="G13" s="1"/>
      <c r="H13" s="1"/>
      <c r="I13" s="1"/>
      <c r="J13" s="1"/>
      <c r="K13" s="1"/>
      <c r="L13" s="1"/>
      <c r="M13" s="1"/>
    </row>
    <row r="14" spans="1:13" s="9" customFormat="1" x14ac:dyDescent="0.25">
      <c r="A14" s="1"/>
      <c r="B14" s="1"/>
      <c r="C14" s="15"/>
      <c r="D14" s="16"/>
      <c r="E14" s="17"/>
      <c r="F14" s="18"/>
      <c r="G14" s="1"/>
      <c r="H14" s="1"/>
      <c r="I14" s="1"/>
      <c r="J14" s="1"/>
      <c r="K14" s="1"/>
      <c r="L14" s="1"/>
      <c r="M14" s="1"/>
    </row>
    <row r="15" spans="1:13" s="9" customFormat="1" ht="16.149999999999999" customHeight="1" thickBot="1" x14ac:dyDescent="0.3">
      <c r="A15" s="1"/>
      <c r="B15" s="1"/>
      <c r="C15" s="19" t="s">
        <v>0</v>
      </c>
      <c r="D15" s="20"/>
      <c r="E15" s="21"/>
      <c r="F15" s="22">
        <f>SUM(F5:F13)</f>
        <v>8259.0938500000011</v>
      </c>
      <c r="G15" s="1"/>
      <c r="H15" s="1"/>
      <c r="I15" s="1"/>
      <c r="J15" s="1"/>
      <c r="K15" s="1"/>
      <c r="L15" s="1"/>
      <c r="M15" s="1"/>
    </row>
    <row r="16" spans="1:13" s="9" customFormat="1" ht="15.75" thickBot="1" x14ac:dyDescent="0.3">
      <c r="A16" s="1"/>
      <c r="B16" s="1"/>
      <c r="C16" s="23"/>
      <c r="D16" s="23"/>
      <c r="E16" s="12"/>
      <c r="F16" s="24"/>
      <c r="G16" s="1"/>
      <c r="H16" s="1"/>
      <c r="I16" s="1"/>
      <c r="J16" s="1"/>
      <c r="K16" s="1"/>
      <c r="L16" s="1"/>
      <c r="M16" s="1"/>
    </row>
    <row r="17" spans="1:13" s="9" customFormat="1" ht="15.6" customHeight="1" x14ac:dyDescent="0.25">
      <c r="A17" s="1"/>
      <c r="B17" s="1"/>
      <c r="C17" s="25" t="s">
        <v>171</v>
      </c>
      <c r="D17" s="26"/>
      <c r="E17" s="26"/>
      <c r="F17" s="27"/>
      <c r="G17" s="1"/>
      <c r="H17" s="1"/>
      <c r="I17" s="1"/>
      <c r="J17" s="1"/>
      <c r="K17" s="1"/>
      <c r="L17" s="1"/>
      <c r="M17" s="1"/>
    </row>
    <row r="18" spans="1:13" s="9" customFormat="1" ht="15.6" customHeight="1" x14ac:dyDescent="0.25">
      <c r="A18" s="1"/>
      <c r="B18" s="1"/>
      <c r="C18" s="28"/>
      <c r="D18" s="29"/>
      <c r="E18" s="29"/>
      <c r="F18" s="30"/>
      <c r="G18" s="1"/>
      <c r="H18" s="1"/>
      <c r="I18" s="1"/>
      <c r="J18" s="1"/>
      <c r="K18" s="1"/>
      <c r="L18" s="1"/>
      <c r="M18" s="1"/>
    </row>
    <row r="19" spans="1:13" s="9" customFormat="1" ht="15.6" customHeight="1" thickBot="1" x14ac:dyDescent="0.3">
      <c r="A19" s="1"/>
      <c r="B19" s="1"/>
      <c r="C19" s="31"/>
      <c r="D19" s="32"/>
      <c r="E19" s="32"/>
      <c r="F19" s="33"/>
      <c r="G19" s="1"/>
      <c r="H19" s="1"/>
      <c r="I19" s="1"/>
      <c r="J19" s="1"/>
      <c r="K19" s="1"/>
      <c r="L19" s="1"/>
      <c r="M19" s="1"/>
    </row>
    <row r="20" spans="1:13" s="9" customFormat="1" x14ac:dyDescent="0.25">
      <c r="A20" s="1"/>
      <c r="B20" s="1"/>
      <c r="C20" s="1"/>
      <c r="D20" s="1"/>
      <c r="E20" s="34"/>
      <c r="F20" s="1"/>
      <c r="G20" s="1"/>
      <c r="H20" s="1"/>
      <c r="I20" s="1"/>
      <c r="J20" s="1"/>
      <c r="K20" s="1"/>
      <c r="L20" s="1"/>
      <c r="M20" s="1"/>
    </row>
    <row r="21" spans="1:13" s="9" customFormat="1" ht="15.75" thickBot="1" x14ac:dyDescent="0.3">
      <c r="A21" s="1"/>
      <c r="B21" s="1"/>
      <c r="C21" s="3" t="s">
        <v>67</v>
      </c>
      <c r="D21" s="1"/>
      <c r="E21" s="1"/>
      <c r="F21" s="1"/>
      <c r="G21" s="1"/>
      <c r="H21" s="1"/>
      <c r="I21" s="1"/>
      <c r="J21" s="1"/>
      <c r="K21" s="1"/>
      <c r="L21" s="1"/>
      <c r="M21" s="1"/>
    </row>
    <row r="22" spans="1:13" s="9" customFormat="1" ht="15.75" thickBot="1" x14ac:dyDescent="0.3">
      <c r="A22" s="1"/>
      <c r="B22" s="1"/>
      <c r="C22" s="35" t="s">
        <v>5</v>
      </c>
      <c r="D22" s="7"/>
      <c r="E22" s="7"/>
      <c r="F22" s="8" t="s">
        <v>100</v>
      </c>
      <c r="G22" s="1"/>
      <c r="H22" s="1"/>
      <c r="I22" s="1"/>
      <c r="J22" s="1"/>
      <c r="K22" s="1"/>
      <c r="L22" s="1"/>
      <c r="M22" s="1"/>
    </row>
    <row r="23" spans="1:13" s="9" customFormat="1" x14ac:dyDescent="0.25">
      <c r="A23" s="1"/>
      <c r="B23" s="1"/>
      <c r="C23" s="36" t="s">
        <v>151</v>
      </c>
      <c r="D23" s="23"/>
      <c r="E23" s="23"/>
      <c r="F23" s="13">
        <f>'Detail YR 2 - Based on 340'!O48</f>
        <v>4993.7631999336209</v>
      </c>
      <c r="G23" s="1"/>
      <c r="H23" s="1"/>
      <c r="I23" s="1"/>
      <c r="J23" s="1"/>
      <c r="K23" s="1"/>
      <c r="L23" s="1"/>
      <c r="M23" s="1"/>
    </row>
    <row r="24" spans="1:13" s="9" customFormat="1" x14ac:dyDescent="0.25">
      <c r="A24" s="1"/>
      <c r="B24" s="1"/>
      <c r="C24" s="36" t="s">
        <v>149</v>
      </c>
      <c r="D24" s="23"/>
      <c r="E24" s="23"/>
      <c r="F24" s="14">
        <f>'Detail YR 2 - Based on 340'!O47</f>
        <v>830.28833926607172</v>
      </c>
      <c r="G24" s="1"/>
      <c r="H24" s="1"/>
      <c r="I24" s="1"/>
      <c r="J24" s="1"/>
      <c r="K24" s="1"/>
      <c r="L24" s="1"/>
      <c r="M24" s="1"/>
    </row>
    <row r="25" spans="1:13" s="9" customFormat="1" x14ac:dyDescent="0.25">
      <c r="A25" s="1"/>
      <c r="B25" s="1"/>
      <c r="C25" s="36" t="s">
        <v>182</v>
      </c>
      <c r="D25" s="23"/>
      <c r="E25" s="23"/>
      <c r="F25" s="14">
        <f>'Detail YR 1 - Based on 340'!L25</f>
        <v>2182</v>
      </c>
      <c r="G25" s="1"/>
      <c r="H25" s="1"/>
      <c r="I25" s="1"/>
      <c r="J25" s="1"/>
      <c r="K25" s="1"/>
      <c r="L25" s="1"/>
      <c r="M25" s="1"/>
    </row>
    <row r="26" spans="1:13" s="9" customFormat="1" x14ac:dyDescent="0.25">
      <c r="A26" s="1"/>
      <c r="B26" s="1"/>
      <c r="C26" s="36" t="s">
        <v>158</v>
      </c>
      <c r="D26" s="23"/>
      <c r="E26" s="23"/>
      <c r="F26" s="14">
        <f>'Detail YR 1 - Based on 340'!L35</f>
        <v>1488</v>
      </c>
      <c r="G26" s="1"/>
      <c r="H26" s="1"/>
      <c r="I26" s="1"/>
      <c r="J26" s="1"/>
      <c r="K26" s="1"/>
      <c r="L26" s="1"/>
      <c r="M26" s="1"/>
    </row>
    <row r="27" spans="1:13" s="9" customFormat="1" x14ac:dyDescent="0.25">
      <c r="A27" s="1"/>
      <c r="B27" s="1"/>
      <c r="C27" s="36" t="s">
        <v>80</v>
      </c>
      <c r="D27" s="23"/>
      <c r="E27" s="23"/>
      <c r="F27" s="14">
        <f>'Detail YR 1 - Based on 340'!O46</f>
        <v>1278.5237108263786</v>
      </c>
      <c r="G27" s="1"/>
      <c r="H27" s="1"/>
      <c r="I27" s="1"/>
      <c r="J27" s="1"/>
      <c r="K27" s="1"/>
      <c r="L27" s="1"/>
      <c r="M27" s="1"/>
    </row>
    <row r="28" spans="1:13" s="9" customFormat="1" x14ac:dyDescent="0.25">
      <c r="A28" s="1"/>
      <c r="B28" s="1"/>
      <c r="C28" s="36" t="s">
        <v>165</v>
      </c>
      <c r="D28" s="23"/>
      <c r="E28" s="23"/>
      <c r="F28" s="14">
        <f>'Detail YR 1 - Based on 340'!O47</f>
        <v>588.49694336567131</v>
      </c>
      <c r="G28" s="1"/>
      <c r="H28" s="1"/>
      <c r="I28" s="1"/>
      <c r="J28" s="1"/>
      <c r="K28" s="1"/>
      <c r="L28" s="1"/>
      <c r="M28" s="1"/>
    </row>
    <row r="29" spans="1:13" s="9" customFormat="1" x14ac:dyDescent="0.25">
      <c r="A29" s="1"/>
      <c r="B29" s="1"/>
      <c r="C29" s="36" t="s">
        <v>68</v>
      </c>
      <c r="D29" s="23"/>
      <c r="E29" s="23"/>
      <c r="F29" s="14">
        <f>'Detail YR 1 - Based on 340'!O44</f>
        <v>1624.4771855205754</v>
      </c>
      <c r="G29" s="1"/>
      <c r="H29" s="1"/>
      <c r="I29" s="1"/>
      <c r="J29" s="1"/>
      <c r="K29" s="1"/>
      <c r="L29" s="1"/>
      <c r="M29" s="1"/>
    </row>
    <row r="30" spans="1:13" s="9" customFormat="1" x14ac:dyDescent="0.25">
      <c r="A30" s="1"/>
      <c r="B30" s="1"/>
      <c r="C30" s="36" t="s">
        <v>174</v>
      </c>
      <c r="D30" s="23"/>
      <c r="E30" s="23"/>
      <c r="F30" s="14">
        <f>'Detail YR 1 - Based on 340'!O45</f>
        <v>2369.029228884172</v>
      </c>
      <c r="G30" s="1"/>
      <c r="H30" s="1"/>
      <c r="I30" s="1"/>
      <c r="J30" s="1"/>
      <c r="K30" s="1"/>
      <c r="L30" s="1"/>
      <c r="M30" s="1"/>
    </row>
    <row r="31" spans="1:13" s="9" customFormat="1" x14ac:dyDescent="0.25">
      <c r="A31" s="1"/>
      <c r="B31" s="1"/>
      <c r="C31" s="36" t="s">
        <v>162</v>
      </c>
      <c r="D31" s="23"/>
      <c r="E31" s="23"/>
      <c r="F31" s="14">
        <f>'Detail YR 1 - Based on 340'!O50</f>
        <v>838.56113974788957</v>
      </c>
      <c r="G31" s="1"/>
      <c r="H31" s="1"/>
      <c r="I31" s="1"/>
      <c r="J31" s="1"/>
      <c r="K31" s="1"/>
      <c r="L31" s="1"/>
      <c r="M31" s="1"/>
    </row>
    <row r="32" spans="1:13" s="9" customFormat="1" x14ac:dyDescent="0.25">
      <c r="A32" s="1"/>
      <c r="B32" s="1"/>
      <c r="C32" s="36" t="s">
        <v>175</v>
      </c>
      <c r="D32" s="23"/>
      <c r="E32" s="23"/>
      <c r="F32" s="14">
        <f>'Detail YR 1 - Based on 340'!O51</f>
        <v>639.26185541318932</v>
      </c>
      <c r="G32" s="1"/>
      <c r="H32" s="1"/>
      <c r="I32" s="1"/>
      <c r="J32" s="1"/>
      <c r="K32" s="1"/>
      <c r="L32" s="1"/>
      <c r="M32" s="1"/>
    </row>
    <row r="33" spans="1:13" s="9" customFormat="1" x14ac:dyDescent="0.25">
      <c r="A33" s="1"/>
      <c r="B33" s="1"/>
      <c r="C33" s="37"/>
      <c r="D33" s="38"/>
      <c r="E33" s="38"/>
      <c r="F33" s="18"/>
      <c r="G33" s="1"/>
      <c r="H33" s="1"/>
      <c r="I33" s="1"/>
      <c r="J33" s="1"/>
      <c r="K33" s="1"/>
      <c r="L33" s="1"/>
      <c r="M33" s="1"/>
    </row>
    <row r="34" spans="1:13" s="9" customFormat="1" ht="16.149999999999999" customHeight="1" thickBot="1" x14ac:dyDescent="0.3">
      <c r="A34" s="1"/>
      <c r="B34" s="1"/>
      <c r="C34" s="39" t="s">
        <v>0</v>
      </c>
      <c r="D34" s="40"/>
      <c r="E34" s="41"/>
      <c r="F34" s="22">
        <f>SUM(F23:F33)</f>
        <v>16832.401602957569</v>
      </c>
      <c r="G34" s="1"/>
      <c r="H34" s="1"/>
      <c r="I34" s="1"/>
      <c r="J34" s="1"/>
      <c r="K34" s="1"/>
      <c r="L34" s="1"/>
      <c r="M34" s="1"/>
    </row>
    <row r="35" spans="1:13" s="9" customFormat="1" ht="15.75" thickBot="1" x14ac:dyDescent="0.3">
      <c r="A35" s="1"/>
      <c r="B35" s="1"/>
      <c r="C35" s="1"/>
      <c r="D35" s="1"/>
      <c r="E35" s="1"/>
      <c r="F35" s="1"/>
      <c r="G35" s="1"/>
      <c r="H35" s="1"/>
      <c r="I35" s="1"/>
      <c r="J35" s="1"/>
      <c r="K35" s="1"/>
      <c r="L35" s="1"/>
      <c r="M35" s="1"/>
    </row>
    <row r="36" spans="1:13" s="9" customFormat="1" x14ac:dyDescent="0.25">
      <c r="A36" s="1"/>
      <c r="B36" s="1"/>
      <c r="C36" s="42" t="s">
        <v>186</v>
      </c>
      <c r="D36" s="26"/>
      <c r="E36" s="26"/>
      <c r="F36" s="27"/>
      <c r="G36" s="1"/>
      <c r="H36" s="1"/>
      <c r="I36" s="1"/>
      <c r="J36" s="1"/>
      <c r="K36" s="1"/>
      <c r="L36" s="1"/>
      <c r="M36" s="1"/>
    </row>
    <row r="37" spans="1:13" s="9" customFormat="1" x14ac:dyDescent="0.25">
      <c r="A37" s="1"/>
      <c r="B37" s="1"/>
      <c r="C37" s="28"/>
      <c r="D37" s="29"/>
      <c r="E37" s="29"/>
      <c r="F37" s="30"/>
      <c r="G37" s="1"/>
      <c r="H37" s="1"/>
      <c r="I37" s="1"/>
      <c r="J37" s="1"/>
      <c r="K37" s="1"/>
      <c r="L37" s="1"/>
      <c r="M37" s="1"/>
    </row>
    <row r="38" spans="1:13" s="9" customFormat="1" ht="15.75" thickBot="1" x14ac:dyDescent="0.3">
      <c r="A38" s="1"/>
      <c r="B38" s="1"/>
      <c r="C38" s="31"/>
      <c r="D38" s="32"/>
      <c r="E38" s="32"/>
      <c r="F38" s="33"/>
      <c r="G38" s="1"/>
      <c r="H38" s="1"/>
      <c r="I38" s="1"/>
      <c r="J38" s="1"/>
      <c r="K38" s="1"/>
      <c r="L38" s="1"/>
      <c r="M38" s="1"/>
    </row>
    <row r="39" spans="1:13" s="9" customFormat="1" x14ac:dyDescent="0.25">
      <c r="A39" s="1"/>
      <c r="B39" s="1"/>
      <c r="C39" s="1"/>
      <c r="D39" s="1"/>
      <c r="E39" s="1"/>
      <c r="F39" s="1"/>
      <c r="G39" s="1"/>
      <c r="H39" s="1"/>
      <c r="I39" s="1"/>
      <c r="J39" s="1"/>
      <c r="K39" s="1"/>
      <c r="L39" s="1"/>
      <c r="M39" s="1"/>
    </row>
    <row r="40" spans="1:13" s="9" customFormat="1" ht="15.75" thickBot="1" x14ac:dyDescent="0.3">
      <c r="A40" s="1"/>
      <c r="B40" s="1"/>
      <c r="C40" s="3" t="s">
        <v>4</v>
      </c>
      <c r="D40" s="1"/>
      <c r="E40" s="1"/>
      <c r="F40" s="1"/>
      <c r="G40" s="1"/>
      <c r="H40" s="1"/>
      <c r="I40" s="1"/>
      <c r="J40" s="1"/>
      <c r="K40" s="1"/>
      <c r="L40" s="1"/>
      <c r="M40" s="1"/>
    </row>
    <row r="41" spans="1:13" s="9" customFormat="1" ht="16.149999999999999" customHeight="1" thickBot="1" x14ac:dyDescent="0.3">
      <c r="A41" s="1"/>
      <c r="B41" s="1"/>
      <c r="C41" s="35" t="s">
        <v>98</v>
      </c>
      <c r="D41" s="43" t="s">
        <v>112</v>
      </c>
      <c r="E41" s="44"/>
      <c r="F41" s="45" t="s">
        <v>183</v>
      </c>
      <c r="G41" s="46" t="s">
        <v>184</v>
      </c>
      <c r="H41" s="1"/>
      <c r="I41" s="1"/>
      <c r="J41" s="1"/>
      <c r="K41" s="1"/>
      <c r="L41" s="1"/>
      <c r="M41" s="1"/>
    </row>
    <row r="42" spans="1:13" s="9" customFormat="1" x14ac:dyDescent="0.25">
      <c r="A42" s="1"/>
      <c r="B42" s="1"/>
      <c r="C42" s="47" t="s">
        <v>115</v>
      </c>
      <c r="D42" s="48" t="s">
        <v>121</v>
      </c>
      <c r="E42" s="49"/>
      <c r="F42" s="50">
        <f>(('Detail YR 1 - Based on 340'!F15*'Detail YR 1 - Based on 340'!C6*52)+('Detail YR 1 - Based on 340'!G15*'Detail YR 1 - Based on 340'!C7*52)+('Detail YR 1 - Based on 340'!H15*'Detail YR 1 - Based on 340'!C8*52))</f>
        <v>5260.65</v>
      </c>
      <c r="G42" s="51">
        <f>'Detail YR 2 - Based on 340'!H34</f>
        <v>5293.1624999999995</v>
      </c>
      <c r="H42" s="1"/>
      <c r="I42" s="1"/>
      <c r="J42" s="1"/>
      <c r="K42" s="1"/>
      <c r="L42" s="1"/>
      <c r="M42" s="1"/>
    </row>
    <row r="43" spans="1:13" s="9" customFormat="1" x14ac:dyDescent="0.25">
      <c r="A43" s="1"/>
      <c r="B43" s="1"/>
      <c r="C43" s="10" t="s">
        <v>6</v>
      </c>
      <c r="D43" s="52" t="s">
        <v>122</v>
      </c>
      <c r="E43" s="53"/>
      <c r="F43" s="54">
        <f>'Detail YR 1 - Based on 340'!L11</f>
        <v>300</v>
      </c>
      <c r="G43" s="55">
        <f>F43</f>
        <v>300</v>
      </c>
      <c r="H43" s="1"/>
      <c r="I43" s="1"/>
      <c r="J43" s="1"/>
      <c r="K43" s="1"/>
      <c r="L43" s="1"/>
      <c r="M43" s="1"/>
    </row>
    <row r="44" spans="1:13" s="9" customFormat="1" x14ac:dyDescent="0.25">
      <c r="A44" s="1"/>
      <c r="B44" s="1"/>
      <c r="C44" s="10" t="s">
        <v>116</v>
      </c>
      <c r="D44" s="52" t="s">
        <v>176</v>
      </c>
      <c r="E44" s="53"/>
      <c r="F44" s="54">
        <f>'Detail YR 1 - Based on 340'!L12</f>
        <v>1050.6000000000001</v>
      </c>
      <c r="G44" s="55">
        <f t="shared" ref="G44:G56" si="1">F44</f>
        <v>1050.6000000000001</v>
      </c>
      <c r="H44" s="1"/>
      <c r="I44" s="1"/>
      <c r="J44" s="1"/>
      <c r="K44" s="1"/>
      <c r="L44" s="1"/>
      <c r="M44" s="1"/>
    </row>
    <row r="45" spans="1:13" s="9" customFormat="1" x14ac:dyDescent="0.25">
      <c r="A45" s="1"/>
      <c r="B45" s="1"/>
      <c r="C45" s="10" t="s">
        <v>118</v>
      </c>
      <c r="D45" s="56" t="s">
        <v>129</v>
      </c>
      <c r="E45" s="53"/>
      <c r="F45" s="54">
        <f>'Detail YR 1 - Based on 340'!L16</f>
        <v>1104.7348</v>
      </c>
      <c r="G45" s="55">
        <f>'Detail YR 2 - Based on 340'!L16</f>
        <v>1148.9241920000002</v>
      </c>
      <c r="H45" s="1"/>
      <c r="I45" s="1"/>
      <c r="J45" s="1"/>
      <c r="K45" s="1"/>
      <c r="L45" s="1"/>
      <c r="M45" s="1"/>
    </row>
    <row r="46" spans="1:13" s="9" customFormat="1" x14ac:dyDescent="0.25">
      <c r="A46" s="1"/>
      <c r="B46" s="1"/>
      <c r="C46" s="10" t="s">
        <v>117</v>
      </c>
      <c r="D46" s="56" t="s">
        <v>128</v>
      </c>
      <c r="E46" s="53"/>
      <c r="F46" s="54">
        <f>'Detail YR 1 - Based on 340'!L14</f>
        <v>1800</v>
      </c>
      <c r="G46" s="55">
        <f t="shared" si="1"/>
        <v>1800</v>
      </c>
      <c r="H46" s="1"/>
      <c r="I46" s="1"/>
      <c r="J46" s="1"/>
      <c r="K46" s="1"/>
      <c r="L46" s="1"/>
      <c r="M46" s="1"/>
    </row>
    <row r="47" spans="1:13" s="9" customFormat="1" x14ac:dyDescent="0.25">
      <c r="A47" s="1"/>
      <c r="B47" s="1"/>
      <c r="C47" s="10" t="s">
        <v>119</v>
      </c>
      <c r="D47" s="56" t="s">
        <v>127</v>
      </c>
      <c r="E47" s="53"/>
      <c r="F47" s="54">
        <f>'Detail YR 1 - Based on 340'!L17</f>
        <v>1200</v>
      </c>
      <c r="G47" s="55">
        <f t="shared" si="1"/>
        <v>1200</v>
      </c>
      <c r="H47" s="1"/>
      <c r="I47" s="1"/>
      <c r="J47" s="1"/>
      <c r="K47" s="1"/>
      <c r="L47" s="1"/>
      <c r="M47" s="1"/>
    </row>
    <row r="48" spans="1:13" s="9" customFormat="1" x14ac:dyDescent="0.25">
      <c r="A48" s="1"/>
      <c r="B48" s="1"/>
      <c r="C48" s="10" t="s">
        <v>31</v>
      </c>
      <c r="D48" s="56" t="s">
        <v>126</v>
      </c>
      <c r="E48" s="53"/>
      <c r="F48" s="54">
        <f>'Detail YR 1 - Based on 340'!L24</f>
        <v>800</v>
      </c>
      <c r="G48" s="55">
        <f t="shared" si="1"/>
        <v>800</v>
      </c>
      <c r="H48" s="1"/>
      <c r="I48" s="1"/>
      <c r="J48" s="1"/>
      <c r="K48" s="1"/>
      <c r="L48" s="1"/>
      <c r="M48" s="1"/>
    </row>
    <row r="49" spans="1:13" s="9" customFormat="1" x14ac:dyDescent="0.25">
      <c r="A49" s="1"/>
      <c r="B49" s="1"/>
      <c r="C49" s="10" t="s">
        <v>178</v>
      </c>
      <c r="D49" s="56" t="s">
        <v>179</v>
      </c>
      <c r="E49" s="53"/>
      <c r="F49" s="54">
        <f>'Detail YR 1 - Based on 340'!L26</f>
        <v>1200</v>
      </c>
      <c r="G49" s="55">
        <f t="shared" si="1"/>
        <v>1200</v>
      </c>
      <c r="H49" s="1"/>
      <c r="I49" s="1"/>
      <c r="J49" s="1"/>
      <c r="K49" s="1"/>
      <c r="L49" s="1"/>
      <c r="M49" s="1"/>
    </row>
    <row r="50" spans="1:13" s="9" customFormat="1" x14ac:dyDescent="0.25">
      <c r="A50" s="1"/>
      <c r="B50" s="1"/>
      <c r="C50" s="10" t="s">
        <v>44</v>
      </c>
      <c r="D50" s="56" t="s">
        <v>177</v>
      </c>
      <c r="E50" s="53"/>
      <c r="F50" s="54">
        <f>'Detail YR 1 - Based on 340'!L19</f>
        <v>960</v>
      </c>
      <c r="G50" s="55">
        <f t="shared" si="1"/>
        <v>960</v>
      </c>
      <c r="H50" s="1"/>
      <c r="I50" s="1"/>
      <c r="J50" s="1"/>
      <c r="K50" s="1"/>
      <c r="L50" s="1"/>
      <c r="M50" s="1"/>
    </row>
    <row r="51" spans="1:13" s="9" customFormat="1" x14ac:dyDescent="0.25">
      <c r="A51" s="1"/>
      <c r="B51" s="1"/>
      <c r="C51" s="10" t="s">
        <v>180</v>
      </c>
      <c r="D51" s="56" t="s">
        <v>181</v>
      </c>
      <c r="E51" s="53"/>
      <c r="F51" s="54">
        <f>'Detail YR 1 - Based on 340'!L32</f>
        <v>1050.0899999999999</v>
      </c>
      <c r="G51" s="55">
        <f t="shared" si="1"/>
        <v>1050.0899999999999</v>
      </c>
      <c r="H51" s="1"/>
      <c r="I51" s="1"/>
      <c r="J51" s="1"/>
      <c r="K51" s="1"/>
      <c r="L51" s="1"/>
      <c r="M51" s="1"/>
    </row>
    <row r="52" spans="1:13" s="9" customFormat="1" x14ac:dyDescent="0.25">
      <c r="A52" s="1"/>
      <c r="B52" s="1"/>
      <c r="C52" s="10" t="s">
        <v>46</v>
      </c>
      <c r="D52" s="56" t="s">
        <v>125</v>
      </c>
      <c r="E52" s="53"/>
      <c r="F52" s="54">
        <f>'Detail YR 1 - Based on 340'!L36</f>
        <v>1200</v>
      </c>
      <c r="G52" s="55">
        <f t="shared" si="1"/>
        <v>1200</v>
      </c>
      <c r="H52" s="1"/>
      <c r="I52" s="1"/>
      <c r="J52" s="1"/>
      <c r="K52" s="1"/>
      <c r="L52" s="1"/>
      <c r="M52" s="1"/>
    </row>
    <row r="53" spans="1:13" s="9" customFormat="1" x14ac:dyDescent="0.25">
      <c r="A53" s="1"/>
      <c r="B53" s="1"/>
      <c r="C53" s="10" t="s">
        <v>120</v>
      </c>
      <c r="D53" s="56" t="s">
        <v>123</v>
      </c>
      <c r="E53" s="53"/>
      <c r="F53" s="54">
        <f>'Detail YR 1 - Based on 340'!L7</f>
        <v>8772</v>
      </c>
      <c r="G53" s="55">
        <f t="shared" si="1"/>
        <v>8772</v>
      </c>
      <c r="H53" s="1"/>
      <c r="I53" s="1"/>
      <c r="J53" s="1"/>
      <c r="K53" s="1"/>
      <c r="L53" s="1"/>
      <c r="M53" s="1"/>
    </row>
    <row r="54" spans="1:13" s="9" customFormat="1" x14ac:dyDescent="0.25">
      <c r="A54" s="1"/>
      <c r="B54" s="1"/>
      <c r="C54" s="10" t="s">
        <v>21</v>
      </c>
      <c r="D54" s="56" t="s">
        <v>124</v>
      </c>
      <c r="E54" s="53"/>
      <c r="F54" s="57">
        <f>'Detail YR 1 - Based on 340'!L6</f>
        <v>3436</v>
      </c>
      <c r="G54" s="55">
        <f t="shared" si="1"/>
        <v>3436</v>
      </c>
      <c r="H54" s="1"/>
      <c r="I54" s="1"/>
      <c r="J54" s="1"/>
      <c r="K54" s="1"/>
      <c r="L54" s="1"/>
      <c r="M54" s="1"/>
    </row>
    <row r="55" spans="1:13" s="9" customFormat="1" x14ac:dyDescent="0.25">
      <c r="A55" s="1"/>
      <c r="B55" s="1"/>
      <c r="C55" s="10" t="s">
        <v>22</v>
      </c>
      <c r="D55" s="52" t="s">
        <v>130</v>
      </c>
      <c r="E55" s="53"/>
      <c r="F55" s="54">
        <f>'Detail YR 1 - Based on 340'!L37</f>
        <v>3000</v>
      </c>
      <c r="G55" s="55">
        <f t="shared" si="1"/>
        <v>3000</v>
      </c>
      <c r="H55" s="1"/>
      <c r="I55" s="1"/>
      <c r="J55" s="1"/>
      <c r="K55" s="1"/>
      <c r="L55" s="1"/>
      <c r="M55" s="1"/>
    </row>
    <row r="56" spans="1:13" s="9" customFormat="1" ht="16.149999999999999" customHeight="1" x14ac:dyDescent="0.25">
      <c r="A56" s="1"/>
      <c r="B56" s="1"/>
      <c r="C56" s="15"/>
      <c r="D56" s="58"/>
      <c r="E56" s="59"/>
      <c r="F56" s="60"/>
      <c r="G56" s="61">
        <f t="shared" si="1"/>
        <v>0</v>
      </c>
      <c r="H56" s="1"/>
      <c r="I56" s="1"/>
      <c r="J56" s="1"/>
      <c r="K56" s="1"/>
      <c r="L56" s="1"/>
      <c r="M56" s="1"/>
    </row>
    <row r="57" spans="1:13" s="9" customFormat="1" ht="15.75" thickBot="1" x14ac:dyDescent="0.3">
      <c r="A57" s="1"/>
      <c r="B57" s="1"/>
      <c r="C57" s="19" t="s">
        <v>48</v>
      </c>
      <c r="D57" s="20"/>
      <c r="E57" s="21"/>
      <c r="F57" s="62">
        <f>SUM(F42:F56)</f>
        <v>31134.074800000002</v>
      </c>
      <c r="G57" s="63">
        <f>SUM(G42:G56)</f>
        <v>31210.776691999999</v>
      </c>
      <c r="H57" s="1"/>
      <c r="I57" s="1"/>
      <c r="J57" s="1"/>
      <c r="K57" s="1"/>
      <c r="L57" s="1"/>
      <c r="M57" s="1"/>
    </row>
    <row r="58" spans="1:13" s="9" customFormat="1" x14ac:dyDescent="0.25">
      <c r="A58" s="1"/>
      <c r="B58" s="1"/>
      <c r="C58" s="1"/>
      <c r="D58" s="1"/>
      <c r="E58" s="1"/>
      <c r="F58" s="1"/>
      <c r="G58" s="1"/>
      <c r="H58" s="1"/>
      <c r="I58" s="1"/>
      <c r="J58" s="1"/>
      <c r="K58" s="1"/>
      <c r="L58" s="1"/>
      <c r="M58" s="1"/>
    </row>
    <row r="59" spans="1:13" s="9" customFormat="1" x14ac:dyDescent="0.25">
      <c r="A59" s="1"/>
      <c r="B59" s="1"/>
      <c r="C59" s="1"/>
      <c r="D59" s="1"/>
      <c r="E59" s="1"/>
      <c r="F59" s="1"/>
      <c r="G59" s="1"/>
      <c r="H59" s="1"/>
      <c r="I59" s="1"/>
      <c r="J59" s="1"/>
      <c r="K59" s="1"/>
      <c r="L59" s="1"/>
      <c r="M59" s="1"/>
    </row>
    <row r="60" spans="1:13" s="9" customFormat="1" ht="15.75" thickBot="1" x14ac:dyDescent="0.3">
      <c r="A60" s="1"/>
      <c r="B60" s="1"/>
      <c r="C60" s="3" t="s">
        <v>170</v>
      </c>
      <c r="D60" s="1"/>
      <c r="E60" s="1"/>
      <c r="F60" s="1"/>
      <c r="G60" s="1"/>
      <c r="H60" s="1"/>
      <c r="I60" s="1"/>
      <c r="J60" s="1"/>
      <c r="K60" s="1"/>
      <c r="L60" s="1"/>
    </row>
    <row r="61" spans="1:13" s="9" customFormat="1" ht="15.75" thickBot="1" x14ac:dyDescent="0.3">
      <c r="A61" s="1"/>
      <c r="B61" s="1"/>
      <c r="C61" s="35" t="s">
        <v>98</v>
      </c>
      <c r="D61" s="7" t="s">
        <v>113</v>
      </c>
      <c r="E61" s="64" t="s">
        <v>114</v>
      </c>
      <c r="F61" s="1"/>
      <c r="G61" s="1"/>
      <c r="H61" s="1"/>
      <c r="I61" s="1"/>
      <c r="J61" s="1"/>
      <c r="K61" s="1"/>
      <c r="L61" s="1"/>
    </row>
    <row r="62" spans="1:13" s="9" customFormat="1" x14ac:dyDescent="0.25">
      <c r="A62" s="1"/>
      <c r="B62" s="1"/>
      <c r="C62" s="36" t="s">
        <v>110</v>
      </c>
      <c r="D62" s="65">
        <f>'Detail YR 1 - Based on 340'!F14+'Detail YR 1 - Based on 340'!G14+'Detail YR 1 - Based on 340'!H14+Benefits!D9</f>
        <v>281075.02600000001</v>
      </c>
      <c r="E62" s="66">
        <f>'Detail YR 2 - Based on 340'!F14+'Detail YR 2 - Based on 340'!G14+'Detail YR 2 - Based on 340'!H14+Benefits!E9</f>
        <v>285155.69104000001</v>
      </c>
      <c r="F62" s="1"/>
      <c r="G62" s="1"/>
      <c r="H62" s="1"/>
      <c r="I62" s="1"/>
      <c r="J62" s="1"/>
      <c r="K62" s="1"/>
      <c r="L62" s="1"/>
    </row>
    <row r="63" spans="1:13" s="9" customFormat="1" x14ac:dyDescent="0.25">
      <c r="A63" s="1"/>
      <c r="B63" s="1"/>
      <c r="C63" s="36" t="s">
        <v>111</v>
      </c>
      <c r="D63" s="65">
        <f>F15+F34</f>
        <v>25091.49545295757</v>
      </c>
      <c r="E63" s="66">
        <f>F15+F34</f>
        <v>25091.49545295757</v>
      </c>
      <c r="F63" s="34"/>
      <c r="G63" s="1"/>
      <c r="H63" s="1"/>
      <c r="I63" s="1"/>
      <c r="J63" s="1"/>
      <c r="K63" s="1"/>
      <c r="L63" s="1"/>
    </row>
    <row r="64" spans="1:13" s="9" customFormat="1" ht="16.149999999999999" customHeight="1" x14ac:dyDescent="0.25">
      <c r="A64" s="1"/>
      <c r="B64" s="1"/>
      <c r="C64" s="37" t="s">
        <v>4</v>
      </c>
      <c r="D64" s="67">
        <f>F57</f>
        <v>31134.074800000002</v>
      </c>
      <c r="E64" s="68">
        <f>G57</f>
        <v>31210.776691999999</v>
      </c>
      <c r="F64" s="1"/>
      <c r="G64" s="1"/>
      <c r="H64" s="1"/>
      <c r="I64" s="1"/>
      <c r="J64" s="1"/>
      <c r="K64" s="1"/>
      <c r="L64" s="1"/>
    </row>
    <row r="65" spans="1:13" s="9" customFormat="1" ht="15.75" thickBot="1" x14ac:dyDescent="0.3">
      <c r="A65" s="1"/>
      <c r="B65" s="1"/>
      <c r="C65" s="69" t="s">
        <v>48</v>
      </c>
      <c r="D65" s="70">
        <f>SUM(D62:D64)</f>
        <v>337300.59625295759</v>
      </c>
      <c r="E65" s="71">
        <f>SUM(E62:E64)</f>
        <v>341457.96318495757</v>
      </c>
      <c r="F65" s="1"/>
      <c r="G65" s="1"/>
      <c r="H65" s="1"/>
      <c r="I65" s="1"/>
      <c r="J65" s="1"/>
      <c r="K65" s="1"/>
      <c r="L65" s="1"/>
      <c r="M65" s="1"/>
    </row>
    <row r="66" spans="1:13" s="9" customFormat="1" x14ac:dyDescent="0.25">
      <c r="A66" s="1"/>
      <c r="B66" s="1"/>
      <c r="C66" s="1"/>
      <c r="D66" s="34"/>
      <c r="E66" s="34"/>
      <c r="F66" s="1"/>
      <c r="G66" s="1"/>
      <c r="H66" s="1"/>
      <c r="I66" s="1"/>
      <c r="J66" s="1"/>
      <c r="K66" s="1"/>
      <c r="L66" s="1"/>
      <c r="M66" s="1"/>
    </row>
    <row r="67" spans="1:13" s="9" customFormat="1" x14ac:dyDescent="0.25">
      <c r="A67" s="1"/>
      <c r="B67" s="1"/>
      <c r="C67" s="1"/>
      <c r="D67" s="34"/>
      <c r="E67" s="34"/>
      <c r="F67" s="1"/>
      <c r="G67" s="1"/>
      <c r="H67" s="1"/>
      <c r="I67" s="1"/>
      <c r="J67" s="1"/>
      <c r="K67" s="1"/>
      <c r="L67" s="1"/>
      <c r="M67" s="1"/>
    </row>
    <row r="68" spans="1:13" s="9" customFormat="1" x14ac:dyDescent="0.25">
      <c r="A68" s="1"/>
      <c r="B68" s="1"/>
      <c r="C68" s="1"/>
      <c r="D68" s="34"/>
      <c r="E68" s="34"/>
      <c r="F68" s="1"/>
      <c r="G68" s="1"/>
      <c r="H68" s="1"/>
      <c r="I68" s="1"/>
      <c r="J68" s="1"/>
      <c r="K68" s="1"/>
      <c r="L68" s="1"/>
      <c r="M68" s="1"/>
    </row>
    <row r="69" spans="1:13" s="9" customFormat="1" x14ac:dyDescent="0.25">
      <c r="A69" s="1"/>
      <c r="B69" s="1"/>
      <c r="C69" s="1"/>
      <c r="D69" s="34"/>
      <c r="E69" s="1"/>
      <c r="F69" s="1"/>
      <c r="G69" s="1"/>
      <c r="H69" s="1"/>
      <c r="I69" s="1"/>
      <c r="J69" s="1"/>
      <c r="K69" s="1"/>
      <c r="L69" s="1"/>
      <c r="M69" s="1"/>
    </row>
    <row r="70" spans="1:13" s="9" customFormat="1" x14ac:dyDescent="0.25">
      <c r="A70" s="1"/>
      <c r="B70" s="1"/>
      <c r="C70" s="1"/>
      <c r="D70" s="1"/>
      <c r="E70" s="1"/>
      <c r="F70" s="1"/>
      <c r="G70" s="1"/>
      <c r="H70" s="1"/>
      <c r="I70" s="1"/>
      <c r="J70" s="1"/>
      <c r="K70" s="1"/>
      <c r="L70" s="1"/>
      <c r="M70" s="1"/>
    </row>
    <row r="71" spans="1:13" s="9" customFormat="1" x14ac:dyDescent="0.25">
      <c r="A71" s="1"/>
      <c r="B71" s="1"/>
      <c r="C71" s="1"/>
      <c r="D71" s="1"/>
      <c r="E71" s="1"/>
      <c r="F71" s="1"/>
      <c r="G71" s="1"/>
      <c r="H71" s="1"/>
      <c r="I71" s="1"/>
      <c r="J71" s="1"/>
      <c r="K71" s="1"/>
      <c r="L71" s="1"/>
      <c r="M71" s="1"/>
    </row>
    <row r="72" spans="1:13" s="9" customFormat="1" x14ac:dyDescent="0.25">
      <c r="A72" s="1"/>
      <c r="B72" s="1"/>
      <c r="C72" s="1"/>
      <c r="D72" s="1"/>
      <c r="E72" s="1"/>
      <c r="F72" s="1"/>
      <c r="G72" s="1"/>
      <c r="H72" s="1"/>
      <c r="I72" s="1"/>
      <c r="J72" s="1"/>
      <c r="K72" s="1"/>
      <c r="L72" s="1"/>
      <c r="M72" s="1"/>
    </row>
    <row r="73" spans="1:13" s="9" customFormat="1" x14ac:dyDescent="0.25">
      <c r="A73" s="1"/>
      <c r="B73" s="1"/>
      <c r="C73" s="1"/>
      <c r="D73" s="1"/>
      <c r="E73" s="1"/>
      <c r="F73" s="1"/>
      <c r="G73" s="1"/>
      <c r="H73" s="1"/>
      <c r="I73" s="1"/>
      <c r="J73" s="1"/>
      <c r="K73" s="1"/>
      <c r="L73" s="1"/>
      <c r="M73" s="1"/>
    </row>
    <row r="74" spans="1:13" s="9" customFormat="1" x14ac:dyDescent="0.25">
      <c r="A74" s="1"/>
      <c r="B74" s="1"/>
      <c r="C74" s="1"/>
      <c r="D74" s="1"/>
      <c r="E74" s="1"/>
      <c r="F74" s="1"/>
      <c r="G74" s="1"/>
      <c r="H74" s="1"/>
      <c r="I74" s="1"/>
      <c r="J74" s="1"/>
      <c r="K74" s="1"/>
      <c r="L74" s="1"/>
      <c r="M74" s="1"/>
    </row>
    <row r="75" spans="1:13" s="9" customFormat="1" x14ac:dyDescent="0.25">
      <c r="A75" s="1"/>
      <c r="B75" s="1"/>
      <c r="C75" s="1"/>
      <c r="D75" s="1"/>
      <c r="E75" s="1"/>
      <c r="F75" s="1"/>
      <c r="G75" s="1"/>
      <c r="H75" s="1"/>
      <c r="I75" s="1"/>
      <c r="J75" s="1"/>
      <c r="K75" s="1"/>
      <c r="L75" s="1"/>
      <c r="M75" s="1"/>
    </row>
    <row r="76" spans="1:13" s="9" customFormat="1" x14ac:dyDescent="0.25">
      <c r="A76" s="1"/>
      <c r="B76" s="1"/>
      <c r="C76" s="1"/>
      <c r="D76" s="1"/>
      <c r="E76" s="1"/>
      <c r="F76" s="1"/>
      <c r="G76" s="1"/>
      <c r="H76" s="1"/>
      <c r="I76" s="1"/>
      <c r="J76" s="1"/>
      <c r="K76" s="1"/>
      <c r="L76" s="1"/>
      <c r="M76" s="1"/>
    </row>
    <row r="77" spans="1:13" s="9" customFormat="1" x14ac:dyDescent="0.25">
      <c r="A77" s="1"/>
      <c r="B77" s="1"/>
      <c r="C77" s="1"/>
      <c r="D77" s="1"/>
      <c r="E77" s="1"/>
      <c r="F77" s="1"/>
      <c r="G77" s="1"/>
      <c r="H77" s="1"/>
      <c r="I77" s="1"/>
      <c r="J77" s="1"/>
      <c r="K77" s="1"/>
      <c r="L77" s="1"/>
      <c r="M77" s="1"/>
    </row>
    <row r="78" spans="1:13" s="9" customFormat="1" x14ac:dyDescent="0.25">
      <c r="A78" s="1"/>
      <c r="B78" s="1"/>
      <c r="C78" s="1"/>
      <c r="D78" s="1"/>
      <c r="E78" s="1"/>
      <c r="F78" s="1"/>
      <c r="G78" s="1"/>
      <c r="H78" s="1"/>
      <c r="I78" s="1"/>
      <c r="J78" s="1"/>
      <c r="K78" s="1"/>
      <c r="L78" s="1"/>
      <c r="M78" s="1"/>
    </row>
    <row r="79" spans="1:13" s="9" customFormat="1" x14ac:dyDescent="0.25">
      <c r="A79" s="1"/>
      <c r="B79" s="1"/>
      <c r="C79" s="1"/>
      <c r="D79" s="1"/>
      <c r="E79" s="1"/>
      <c r="F79" s="1"/>
      <c r="G79" s="1"/>
      <c r="H79" s="1"/>
      <c r="I79" s="1"/>
      <c r="J79" s="1"/>
      <c r="K79" s="1"/>
      <c r="L79" s="1"/>
      <c r="M79" s="1"/>
    </row>
  </sheetData>
  <mergeCells count="21">
    <mergeCell ref="C57:E57"/>
    <mergeCell ref="C17:F19"/>
    <mergeCell ref="C36:F38"/>
    <mergeCell ref="D41:E41"/>
    <mergeCell ref="D42:E42"/>
    <mergeCell ref="D43:E43"/>
    <mergeCell ref="D50:E50"/>
    <mergeCell ref="D49:E49"/>
    <mergeCell ref="D51:E51"/>
    <mergeCell ref="D55:E55"/>
    <mergeCell ref="D56:E56"/>
    <mergeCell ref="C15:E15"/>
    <mergeCell ref="D53:E53"/>
    <mergeCell ref="D54:E54"/>
    <mergeCell ref="D52:E52"/>
    <mergeCell ref="D48:E48"/>
    <mergeCell ref="D47:E47"/>
    <mergeCell ref="D46:E46"/>
    <mergeCell ref="D44:E44"/>
    <mergeCell ref="D45:E45"/>
    <mergeCell ref="C34:E34"/>
  </mergeCells>
  <pageMargins left="0.7" right="0.7" top="0.75" bottom="0.75" header="0.3" footer="0.3"/>
  <pageSetup scale="72" orientation="portrait" r:id="rId1"/>
  <ignoredErrors>
    <ignoredError sqref="F28 G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 Based on 340</vt:lpstr>
      <vt:lpstr>Detail YR 1 - Based on 340</vt:lpstr>
      <vt:lpstr>Detail YR 2 - Based on 340</vt:lpstr>
      <vt:lpstr>One Year Fee Schedule</vt:lpstr>
      <vt:lpstr>Deployment - Based on 340</vt:lpstr>
      <vt:lpstr>Wages</vt:lpstr>
      <vt:lpstr>Benefits</vt:lpstr>
      <vt:lpstr>Other Costs</vt:lpstr>
    </vt:vector>
  </TitlesOfParts>
  <Company>Brantley Security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Curran</dc:creator>
  <cp:lastModifiedBy>Stacy Winn</cp:lastModifiedBy>
  <cp:lastPrinted>2014-08-21T20:10:32Z</cp:lastPrinted>
  <dcterms:created xsi:type="dcterms:W3CDTF">2000-08-23T08:19:50Z</dcterms:created>
  <dcterms:modified xsi:type="dcterms:W3CDTF">2014-08-21T20:21:25Z</dcterms:modified>
</cp:coreProperties>
</file>